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65416" windowWidth="9600" windowHeight="10215" activeTab="0"/>
  </bookViews>
  <sheets>
    <sheet name="NCT Calculator-L Series" sheetId="1" r:id="rId1"/>
    <sheet name="NCT Calculator-X Series" sheetId="2" r:id="rId2"/>
  </sheets>
  <definedNames>
    <definedName name="_xlnm.Print_Area" localSheetId="0">'NCT Calculator-L Series'!$B$1:$C$166</definedName>
  </definedNames>
  <calcPr fullCalcOnLoad="1"/>
</workbook>
</file>

<file path=xl/sharedStrings.xml><?xml version="1.0" encoding="utf-8"?>
<sst xmlns="http://schemas.openxmlformats.org/spreadsheetml/2006/main" count="236" uniqueCount="119">
  <si>
    <t>Savings</t>
  </si>
  <si>
    <t>Weight of typical PC in kg</t>
  </si>
  <si>
    <t>All-PC</t>
  </si>
  <si>
    <t>Weight of NComputing access device in kg</t>
  </si>
  <si>
    <t>USA average electricity cost from US Federal Govt. See http://www.eia.doe.gov/cneaf/electricity/epm/table5_6_a.html</t>
  </si>
  <si>
    <t xml:space="preserve">Monitor electrical usage will be same in both scenarios, so is not included in the model. </t>
  </si>
  <si>
    <t>All PC</t>
  </si>
  <si>
    <t>GRAPHS CALCULATION AREA (COL. E-H)</t>
  </si>
  <si>
    <t>Acquistion Cost Graph</t>
  </si>
  <si>
    <t>Energy Cost Graph</t>
  </si>
  <si>
    <t>Coal Saved</t>
  </si>
  <si>
    <t>Carbon Dioxide Emissions Reduced</t>
  </si>
  <si>
    <t>Results will vary with deployment scenario and is not guaranteed.</t>
  </si>
  <si>
    <t>Gallons (U.S.) of gasoline/petrol equivalent per 1000 kWh (source: onlineconversion.com/energy/html)</t>
  </si>
  <si>
    <t>Gasoline Saved</t>
  </si>
  <si>
    <t>NComputing incl. shared PCs</t>
  </si>
  <si>
    <t>Metric tons of coal equivalent in 1,000 kWh (source: www.onlineconversion.com/energy)</t>
  </si>
  <si>
    <r>
      <t>Metric tons of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per 1000 kWh (source: www.epa.gov/cleanenergy/energy-resources/calculator.html</t>
    </r>
  </si>
  <si>
    <t># of trees grown for 10 yrs per 1000 kWh (source: www.epa.gov/cleanenergy/energy-resources/calculator.html)</t>
  </si>
  <si>
    <t>Conversion factors, specifications, and sources</t>
  </si>
  <si>
    <t>5 Year Cost Graph</t>
  </si>
  <si>
    <t>6 yr Cost Graph</t>
  </si>
  <si>
    <t>Version 2.2</t>
  </si>
  <si>
    <t xml:space="preserve">©Copyright 2009 NComputing, Inc. All Rights Reserved. </t>
  </si>
  <si>
    <t>(NT$)</t>
  </si>
  <si>
    <t>分析結果</t>
  </si>
  <si>
    <t>節省的採購維護總成本百分比:</t>
  </si>
  <si>
    <t>六年貴公司/單位節省的採購維護總成本:</t>
  </si>
  <si>
    <t>五年所作的環保貢獻</t>
  </si>
  <si>
    <t>您所減少的石油使用量 (加侖):</t>
  </si>
  <si>
    <t>您所減少的碳使用量 (公噸):</t>
  </si>
  <si>
    <t>您所減少的二氧化碳排放量 (公噸):</t>
  </si>
  <si>
    <t>您所種植的樹木數量 (以減少二氧化碳):</t>
  </si>
  <si>
    <t>您所減少的科技產品廢料拋棄 (公噸):</t>
  </si>
  <si>
    <t>e-Waste Comparison</t>
  </si>
  <si>
    <t>L系列採購維護成本分析試算表</t>
  </si>
  <si>
    <t>X系列採購維護成本分析試算表</t>
  </si>
  <si>
    <t>使用NComputing系列產品，須依照正常作業系統或應用軟體授權規範。預估每位使用者之軟體費用為?……………….</t>
  </si>
  <si>
    <t>*五年節省的總電力費用可買NComputing系列產品的數量</t>
  </si>
  <si>
    <t>Please send comments and questions to drand@NComputing.com</t>
  </si>
  <si>
    <t>NComputing產品每台參考市價 (X550 - NT$3,960;  X350 - NT$4,333)…………...……….............................................................................................................................</t>
  </si>
  <si>
    <t>請依照  貴單位所需要的使用狀況依序填入/變更數值:</t>
  </si>
  <si>
    <t>貴單位有多少位使用者呢 (users)?........………………………………………………………………………………………………………………..</t>
  </si>
  <si>
    <r>
      <t>貴單位平均一般PC採購單價 (</t>
    </r>
    <r>
      <rPr>
        <sz val="11"/>
        <color indexed="10"/>
        <rFont val="微軟正黑體"/>
        <family val="2"/>
      </rPr>
      <t>包括作業系統</t>
    </r>
    <r>
      <rPr>
        <sz val="11"/>
        <rFont val="微軟正黑體"/>
        <family val="2"/>
      </rPr>
      <t>)為?..........................................................................................................................</t>
    </r>
  </si>
  <si>
    <t>預估一台PC之5年維護費用NT$7500。請問貴單位支付的費用為?...................................................................................................</t>
  </si>
  <si>
    <t>一般PC平均每小時使用 60 至 120 瓦特電力，請問貴單位PC的耗電量為? …………………….…………………………………….</t>
  </si>
  <si>
    <t>貴單位PC平均一天使用時數 (平均值)為? …………………………………………………………………………………………………………….</t>
  </si>
  <si>
    <t>貴單位PC一年的平均使用天數 (平均值)為? …………………………………………………………………………………………………………</t>
  </si>
  <si>
    <t>這是貴單位需要的電腦主機數量:</t>
  </si>
  <si>
    <t>每台電腦螢幕均價約 NT$3,500 ……………………………………………………………………………………………………………...................</t>
  </si>
  <si>
    <t>每套滑鼠及鍵盤均價約 NT$400…………………………………………………………………………………………………………………...........</t>
  </si>
  <si>
    <t>L系列耗電量為 5瓦特/小時…………………………………………...………………………………………………….………………………………...</t>
  </si>
  <si>
    <t>NComputing產品每台參考市價 (L130 - NT$5,800;  L230 - NT6,300; L300 - NT$7,800)……………………………………………………………..............................</t>
  </si>
  <si>
    <t>含稅</t>
  </si>
  <si>
    <t>採購成本比較</t>
  </si>
  <si>
    <t>貴單位若全部使用一般PC的採購總成本(無搭配使用任何NComputing系列產品):</t>
  </si>
  <si>
    <t>若貴單位搭配使用NComputing系列產品的採購總成本:</t>
  </si>
  <si>
    <t xml:space="preserve">   1)  PC主機的費用:</t>
  </si>
  <si>
    <t xml:space="preserve">   2)  L系列的費用:</t>
  </si>
  <si>
    <t xml:space="preserve">   3)  電腦螢幕的費用:</t>
  </si>
  <si>
    <t xml:space="preserve">   4)  鍵盤及滑鼠的費用:</t>
  </si>
  <si>
    <t xml:space="preserve">   5)  作業系統及應用軟體的費用</t>
  </si>
  <si>
    <t xml:space="preserve">        搭配使用NComputing L系列產品的採購總成本(包括分享的PC主機)</t>
  </si>
  <si>
    <t>貴單位可節省的採購總成本:</t>
  </si>
  <si>
    <t>節省總成本的百分比:</t>
  </si>
  <si>
    <t>年度電費比較</t>
  </si>
  <si>
    <t>貴單位全部使用一般PC (無搭配使用任何NComputing系列產品), 每年的電量總計度數(KWH):</t>
  </si>
  <si>
    <t>一年的總電力費用:</t>
  </si>
  <si>
    <t>若搭配使用 NComputing L系列產品，每年的電量總計度數(KWH):</t>
  </si>
  <si>
    <t>一年的總電力費用(包括分享的PC主機耗電):</t>
  </si>
  <si>
    <t>一年可節省的電力度數(KWH):</t>
  </si>
  <si>
    <t>可節省電力的百分比:</t>
  </si>
  <si>
    <t>一年可節省的總電力費用:</t>
  </si>
  <si>
    <t>五年維護總成本比較</t>
  </si>
  <si>
    <t>硬體維護</t>
  </si>
  <si>
    <t>全部使用一般PC之5年維護總費用</t>
  </si>
  <si>
    <t>若搭配使用 NComputing L系列產品，PC主機之5年維護總費用</t>
  </si>
  <si>
    <t xml:space="preserve">      NComputing L系列產品無任何轉動式零件，損壞率低，以0.3%計算備用品費用</t>
  </si>
  <si>
    <t>若搭配使用 NComputing L系列產品，5年維護總費用</t>
  </si>
  <si>
    <t>五年貴單位所節省的總維護費用:</t>
  </si>
  <si>
    <t>節省的維護費用百分比:</t>
  </si>
  <si>
    <t>電費</t>
  </si>
  <si>
    <t>全部使用一般PC之5年總電力費用:</t>
  </si>
  <si>
    <t xml:space="preserve">      若搭配使用 NComputing L系列產品，五年的總電力費用:</t>
  </si>
  <si>
    <t>五年貴單位所節省的總電力費用:</t>
  </si>
  <si>
    <t>節省的電力費用百分比:</t>
  </si>
  <si>
    <t>五年採購維護總成本比較</t>
  </si>
  <si>
    <t>全部使用一般PC之5年採購維護總成本</t>
  </si>
  <si>
    <t>若搭配使用 NComputing L系列產品之5年採購維護總成本</t>
  </si>
  <si>
    <t>五年貴單位節省的採購維護總成本:</t>
  </si>
  <si>
    <t>節省的採購維護總成本百分比:</t>
  </si>
  <si>
    <t>第六年汰舊換新採購成本 (以PC壽命五年的情況估計，不含螢幕、鍵盤、滑鼠)</t>
  </si>
  <si>
    <t xml:space="preserve">      全部使用一般PC的重新採購總成本</t>
  </si>
  <si>
    <t>若搭配使用 NComputing L系列產品之採購總成本</t>
  </si>
  <si>
    <t>第六年貴單位汰舊換新可節省的採購總成本:</t>
  </si>
  <si>
    <t>六年貴單位全部使用一般PC的採購維護總成本:</t>
  </si>
  <si>
    <t>六年貴單位若搭配使用 NComputing L系列產品之採購維護總成本</t>
  </si>
  <si>
    <t>X系列耗電量為 1瓦特/小時……………………………………………………………….…………………………………….………………………….</t>
  </si>
  <si>
    <t>若貴單位搭配使用NComputing X系列產品的採購總成本:</t>
  </si>
  <si>
    <t xml:space="preserve">   2)  X系列的費用:</t>
  </si>
  <si>
    <t xml:space="preserve">        搭配使用NComputing X系列產品的採購總成本(包括分享的PC主機)</t>
  </si>
  <si>
    <t>若搭配使用 NComputing X系列產品，每年的電量總計度數(KWH):</t>
  </si>
  <si>
    <t>若搭配使用 NComputing X系列產品，PC主機之5年維護總費用</t>
  </si>
  <si>
    <t xml:space="preserve">      NComputing X系列產品無任何轉動式零件，損壞率低，以0.3%計算備用品費用</t>
  </si>
  <si>
    <t>若搭配使用 NComputing X系列產品，5年維護總費用</t>
  </si>
  <si>
    <t xml:space="preserve">      若搭配使用 NComputing X系列產品，五年的總電力費用:</t>
  </si>
  <si>
    <t>若搭配使用 NComputing X系列產品之5年採購維護總成本</t>
  </si>
  <si>
    <t>若搭配使用 NComputing X系列產品之採購總成本</t>
  </si>
  <si>
    <t>六年貴單位若搭配使用 NComputing X系列產品之採購維護總成本</t>
  </si>
  <si>
    <t>六年貴單位節省的採購維護總成本:</t>
  </si>
  <si>
    <t>平均電費為 NT$ 3.2 per KWH ………………….……………………………………………………………………………………………………….</t>
  </si>
  <si>
    <t>貴單位若全部使用一般PC的採購總成本(無搭配使用任何NComputing系列產品):</t>
  </si>
  <si>
    <t>若使用NComputing的產品，一台PC要分享給幾位使用者呢?</t>
  </si>
  <si>
    <t>這是貴單位需要的電腦主機數量:</t>
  </si>
  <si>
    <t>這是貴單位需要的NComputing L系列前端執行裝置的數量:</t>
  </si>
  <si>
    <t>平均電費為 NT$ 3.2 per KWH ………………….……………………………………………………………………………………………………….</t>
  </si>
  <si>
    <t>貴單位PC一年的平均使用天數 (平均值)為? …………………………………………………………………………………………………………</t>
  </si>
  <si>
    <t>這是貴單位需要的NComputing X系列前端執行裝置的數量:</t>
  </si>
  <si>
    <t>若使用NComputing的產品，一台PC要分享給幾位使用者呢?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</si>
</sst>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.000"/>
    <numFmt numFmtId="194" formatCode="0.0"/>
    <numFmt numFmtId="195" formatCode="0.0000"/>
  </numFmts>
  <fonts count="8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1"/>
      <name val="Calibri"/>
      <family val="2"/>
    </font>
    <font>
      <b/>
      <i/>
      <u val="single"/>
      <sz val="11"/>
      <name val="Calibri"/>
      <family val="2"/>
    </font>
    <font>
      <sz val="8.5"/>
      <color indexed="8"/>
      <name val="Arial"/>
      <family val="2"/>
    </font>
    <font>
      <b/>
      <sz val="10.25"/>
      <color indexed="8"/>
      <name val="Arial"/>
      <family val="2"/>
    </font>
    <font>
      <sz val="8"/>
      <color indexed="8"/>
      <name val="Arial"/>
      <family val="2"/>
    </font>
    <font>
      <b/>
      <sz val="10.5"/>
      <color indexed="8"/>
      <name val="Arial"/>
      <family val="2"/>
    </font>
    <font>
      <sz val="10"/>
      <name val="微軟正黑體"/>
      <family val="2"/>
    </font>
    <font>
      <b/>
      <sz val="20"/>
      <color indexed="8"/>
      <name val="微軟正黑體"/>
      <family val="2"/>
    </font>
    <font>
      <sz val="11"/>
      <name val="微軟正黑體"/>
      <family val="2"/>
    </font>
    <font>
      <b/>
      <sz val="11"/>
      <name val="微軟正黑體"/>
      <family val="2"/>
    </font>
    <font>
      <b/>
      <sz val="18"/>
      <name val="微軟正黑體"/>
      <family val="2"/>
    </font>
    <font>
      <b/>
      <sz val="12"/>
      <name val="微軟正黑體"/>
      <family val="2"/>
    </font>
    <font>
      <b/>
      <i/>
      <sz val="11"/>
      <name val="微軟正黑體"/>
      <family val="2"/>
    </font>
    <font>
      <sz val="9"/>
      <name val="細明體"/>
      <family val="3"/>
    </font>
    <font>
      <sz val="11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微軟正黑體"/>
      <family val="2"/>
    </font>
    <font>
      <sz val="12"/>
      <color indexed="10"/>
      <name val="微軟正黑體"/>
      <family val="2"/>
    </font>
    <font>
      <b/>
      <sz val="12"/>
      <color indexed="10"/>
      <name val="微軟正黑體"/>
      <family val="2"/>
    </font>
    <font>
      <sz val="11"/>
      <color indexed="8"/>
      <name val="微軟正黑體"/>
      <family val="2"/>
    </font>
    <font>
      <b/>
      <sz val="11"/>
      <color indexed="10"/>
      <name val="微軟正黑體"/>
      <family val="2"/>
    </font>
    <font>
      <b/>
      <sz val="14"/>
      <color indexed="10"/>
      <name val="微軟正黑體"/>
      <family val="2"/>
    </font>
    <font>
      <b/>
      <sz val="11"/>
      <color indexed="8"/>
      <name val="微軟正黑體"/>
      <family val="2"/>
    </font>
    <font>
      <sz val="10"/>
      <color indexed="10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微軟正黑體"/>
      <family val="2"/>
    </font>
    <font>
      <sz val="12"/>
      <color rgb="FFFF0000"/>
      <name val="微軟正黑體"/>
      <family val="2"/>
    </font>
    <font>
      <b/>
      <sz val="12"/>
      <color rgb="FFFF0000"/>
      <name val="微軟正黑體"/>
      <family val="2"/>
    </font>
    <font>
      <sz val="11"/>
      <color theme="1"/>
      <name val="微軟正黑體"/>
      <family val="2"/>
    </font>
    <font>
      <sz val="11"/>
      <color rgb="FFFF0000"/>
      <name val="微軟正黑體"/>
      <family val="2"/>
    </font>
    <font>
      <b/>
      <sz val="11"/>
      <color rgb="FFFF0000"/>
      <name val="微軟正黑體"/>
      <family val="2"/>
    </font>
    <font>
      <b/>
      <sz val="14"/>
      <color rgb="FFFF0000"/>
      <name val="微軟正黑體"/>
      <family val="2"/>
    </font>
    <font>
      <b/>
      <sz val="11"/>
      <color theme="1"/>
      <name val="微軟正黑體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177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194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7" fontId="0" fillId="0" borderId="13" xfId="0" applyNumberFormat="1" applyFill="1" applyBorder="1" applyAlignment="1" applyProtection="1">
      <alignment/>
      <protection locked="0"/>
    </xf>
    <xf numFmtId="9" fontId="0" fillId="0" borderId="10" xfId="39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85" fontId="7" fillId="0" borderId="0" xfId="33" applyNumberFormat="1" applyFont="1" applyBorder="1" applyAlignment="1" applyProtection="1">
      <alignment/>
      <protection locked="0"/>
    </xf>
    <xf numFmtId="194" fontId="0" fillId="0" borderId="10" xfId="0" applyNumberFormat="1" applyFill="1" applyBorder="1" applyAlignment="1" applyProtection="1">
      <alignment/>
      <protection locked="0"/>
    </xf>
    <xf numFmtId="185" fontId="0" fillId="0" borderId="0" xfId="33" applyNumberFormat="1" applyFont="1" applyFill="1" applyBorder="1" applyAlignment="1" applyProtection="1">
      <alignment/>
      <protection locked="0"/>
    </xf>
    <xf numFmtId="185" fontId="0" fillId="0" borderId="10" xfId="33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178" fontId="7" fillId="0" borderId="0" xfId="41" applyNumberFormat="1" applyFont="1" applyFill="1" applyBorder="1" applyAlignment="1" applyProtection="1">
      <alignment/>
      <protection locked="0"/>
    </xf>
    <xf numFmtId="185" fontId="7" fillId="0" borderId="0" xfId="33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45" applyBorder="1" applyAlignment="1" applyProtection="1">
      <alignment/>
      <protection/>
    </xf>
    <xf numFmtId="0" fontId="7" fillId="0" borderId="0" xfId="0" applyFont="1" applyBorder="1" applyAlignment="1" applyProtection="1">
      <alignment horizontal="left" indent="1"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/>
    </xf>
    <xf numFmtId="0" fontId="19" fillId="0" borderId="22" xfId="0" applyFont="1" applyBorder="1" applyAlignment="1" applyProtection="1">
      <alignment horizontal="right"/>
      <protection locked="0"/>
    </xf>
    <xf numFmtId="0" fontId="20" fillId="0" borderId="23" xfId="0" applyFont="1" applyBorder="1" applyAlignment="1">
      <alignment vertical="center"/>
    </xf>
    <xf numFmtId="0" fontId="73" fillId="0" borderId="24" xfId="0" applyFont="1" applyBorder="1" applyAlignment="1" applyProtection="1">
      <alignment horizontal="right"/>
      <protection locked="0"/>
    </xf>
    <xf numFmtId="0" fontId="74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85" fontId="21" fillId="33" borderId="25" xfId="33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177" fontId="21" fillId="33" borderId="25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21" fillId="33" borderId="25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/>
    </xf>
    <xf numFmtId="178" fontId="21" fillId="33" borderId="25" xfId="41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left" indent="2"/>
      <protection/>
    </xf>
    <xf numFmtId="185" fontId="22" fillId="0" borderId="0" xfId="33" applyNumberFormat="1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75" fillId="0" borderId="0" xfId="0" applyFont="1" applyBorder="1" applyAlignment="1" applyProtection="1">
      <alignment/>
      <protection/>
    </xf>
    <xf numFmtId="177" fontId="76" fillId="0" borderId="0" xfId="0" applyNumberFormat="1" applyFont="1" applyBorder="1" applyAlignment="1" applyProtection="1">
      <alignment horizontal="right"/>
      <protection/>
    </xf>
    <xf numFmtId="0" fontId="76" fillId="0" borderId="16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right"/>
      <protection/>
    </xf>
    <xf numFmtId="0" fontId="21" fillId="0" borderId="13" xfId="0" applyFont="1" applyBorder="1" applyAlignment="1" applyProtection="1">
      <alignment horizontal="left" indent="2"/>
      <protection/>
    </xf>
    <xf numFmtId="177" fontId="21" fillId="0" borderId="14" xfId="0" applyNumberFormat="1" applyFont="1" applyBorder="1" applyAlignment="1" applyProtection="1">
      <alignment horizontal="right"/>
      <protection/>
    </xf>
    <xf numFmtId="177" fontId="21" fillId="0" borderId="15" xfId="0" applyNumberFormat="1" applyFont="1" applyBorder="1" applyAlignment="1" applyProtection="1">
      <alignment horizontal="right"/>
      <protection/>
    </xf>
    <xf numFmtId="0" fontId="21" fillId="0" borderId="17" xfId="0" applyFont="1" applyBorder="1" applyAlignment="1" applyProtection="1">
      <alignment horizontal="left" indent="2"/>
      <protection/>
    </xf>
    <xf numFmtId="177" fontId="77" fillId="0" borderId="15" xfId="0" applyNumberFormat="1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 horizontal="right"/>
      <protection/>
    </xf>
    <xf numFmtId="190" fontId="21" fillId="0" borderId="0" xfId="0" applyNumberFormat="1" applyFont="1" applyBorder="1" applyAlignment="1" applyProtection="1">
      <alignment horizontal="right"/>
      <protection/>
    </xf>
    <xf numFmtId="0" fontId="21" fillId="0" borderId="16" xfId="0" applyFont="1" applyBorder="1" applyAlignment="1" applyProtection="1">
      <alignment/>
      <protection/>
    </xf>
    <xf numFmtId="3" fontId="77" fillId="0" borderId="12" xfId="0" applyNumberFormat="1" applyFont="1" applyBorder="1" applyAlignment="1" applyProtection="1">
      <alignment horizontal="right"/>
      <protection/>
    </xf>
    <xf numFmtId="0" fontId="21" fillId="0" borderId="17" xfId="0" applyFont="1" applyBorder="1" applyAlignment="1" applyProtection="1">
      <alignment/>
      <protection/>
    </xf>
    <xf numFmtId="190" fontId="77" fillId="0" borderId="15" xfId="0" applyNumberFormat="1" applyFont="1" applyBorder="1" applyAlignment="1" applyProtection="1">
      <alignment horizontal="right"/>
      <protection/>
    </xf>
    <xf numFmtId="3" fontId="22" fillId="34" borderId="0" xfId="0" applyNumberFormat="1" applyFont="1" applyFill="1" applyBorder="1" applyAlignment="1" applyProtection="1">
      <alignment horizontal="right"/>
      <protection/>
    </xf>
    <xf numFmtId="9" fontId="22" fillId="34" borderId="0" xfId="39" applyFont="1" applyFill="1" applyBorder="1" applyAlignment="1" applyProtection="1">
      <alignment horizontal="right"/>
      <protection/>
    </xf>
    <xf numFmtId="177" fontId="22" fillId="34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/>
    </xf>
    <xf numFmtId="0" fontId="21" fillId="0" borderId="16" xfId="0" applyFont="1" applyBorder="1" applyAlignment="1" applyProtection="1">
      <alignment horizontal="left" indent="2"/>
      <protection/>
    </xf>
    <xf numFmtId="177" fontId="21" fillId="0" borderId="12" xfId="0" applyNumberFormat="1" applyFont="1" applyBorder="1" applyAlignment="1" applyProtection="1">
      <alignment horizontal="right"/>
      <protection/>
    </xf>
    <xf numFmtId="0" fontId="21" fillId="0" borderId="1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 vertical="top" wrapText="1" indent="2"/>
      <protection/>
    </xf>
    <xf numFmtId="0" fontId="21" fillId="0" borderId="26" xfId="0" applyFont="1" applyBorder="1" applyAlignment="1" applyProtection="1">
      <alignment/>
      <protection/>
    </xf>
    <xf numFmtId="177" fontId="77" fillId="0" borderId="27" xfId="0" applyNumberFormat="1" applyFont="1" applyBorder="1" applyAlignment="1" applyProtection="1">
      <alignment horizontal="right"/>
      <protection/>
    </xf>
    <xf numFmtId="0" fontId="21" fillId="35" borderId="0" xfId="0" applyFont="1" applyFill="1" applyBorder="1" applyAlignment="1" applyProtection="1">
      <alignment horizontal="right" wrapText="1"/>
      <protection/>
    </xf>
    <xf numFmtId="185" fontId="78" fillId="35" borderId="0" xfId="33" applyNumberFormat="1" applyFont="1" applyFill="1" applyBorder="1" applyAlignment="1" applyProtection="1">
      <alignment horizontal="right" vertical="top"/>
      <protection/>
    </xf>
    <xf numFmtId="0" fontId="79" fillId="0" borderId="0" xfId="0" applyFont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 horizontal="right"/>
      <protection/>
    </xf>
    <xf numFmtId="0" fontId="21" fillId="0" borderId="26" xfId="0" applyFont="1" applyBorder="1" applyAlignment="1" applyProtection="1">
      <alignment horizontal="left" indent="2"/>
      <protection/>
    </xf>
    <xf numFmtId="177" fontId="77" fillId="0" borderId="27" xfId="0" applyNumberFormat="1" applyFont="1" applyFill="1" applyBorder="1" applyAlignment="1" applyProtection="1">
      <alignment horizontal="right"/>
      <protection/>
    </xf>
    <xf numFmtId="0" fontId="80" fillId="0" borderId="0" xfId="0" applyFont="1" applyBorder="1" applyAlignment="1">
      <alignment horizontal="right" vertical="center"/>
    </xf>
    <xf numFmtId="0" fontId="80" fillId="0" borderId="0" xfId="0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right"/>
      <protection/>
    </xf>
    <xf numFmtId="177" fontId="78" fillId="0" borderId="27" xfId="0" applyNumberFormat="1" applyFont="1" applyBorder="1" applyAlignment="1" applyProtection="1">
      <alignment horizontal="right"/>
      <protection/>
    </xf>
    <xf numFmtId="0" fontId="24" fillId="34" borderId="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left" indent="2"/>
      <protection/>
    </xf>
    <xf numFmtId="0" fontId="81" fillId="0" borderId="17" xfId="0" applyFont="1" applyFill="1" applyBorder="1" applyAlignment="1" applyProtection="1">
      <alignment/>
      <protection locked="0"/>
    </xf>
    <xf numFmtId="0" fontId="81" fillId="0" borderId="13" xfId="0" applyFont="1" applyFill="1" applyBorder="1" applyAlignment="1" applyProtection="1">
      <alignment/>
      <protection locked="0"/>
    </xf>
    <xf numFmtId="3" fontId="8" fillId="34" borderId="0" xfId="0" applyNumberFormat="1" applyFont="1" applyFill="1" applyBorder="1" applyAlignment="1" applyProtection="1">
      <alignment horizontal="right"/>
      <protection/>
    </xf>
    <xf numFmtId="4" fontId="8" fillId="34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'NCT Calculator-L Series'!$E$50</c:f>
        </c:strRef>
      </c:tx>
      <c:layout>
        <c:manualLayout>
          <c:xMode val="factor"/>
          <c:yMode val="factor"/>
          <c:x val="-0.058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875"/>
          <c:y val="0.161"/>
          <c:w val="0.9057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Series'!$E$40:$E$41</c:f>
            </c:strRef>
          </c:cat>
          <c:val>
            <c:numRef>
              <c:f>'NCT Calculator-L Series'!$G$40:$G$41</c:f>
            </c:numRef>
          </c:val>
        </c:ser>
        <c:axId val="41164572"/>
        <c:axId val="34936829"/>
      </c:barChart>
      <c:catAx>
        <c:axId val="4116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36829"/>
        <c:crosses val="autoZero"/>
        <c:auto val="1"/>
        <c:lblOffset val="100"/>
        <c:tickLblSkip val="1"/>
        <c:noMultiLvlLbl val="0"/>
      </c:catAx>
      <c:valAx>
        <c:axId val="3493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Acquisition Cost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'NCT Calculator-X Series'!$E$58</c:f>
        </c:strRef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17575"/>
          <c:w val="0.9437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Series'!$E$54:$E$55</c:f>
              <c:strCache>
                <c:ptCount val="2"/>
                <c:pt idx="0">
                  <c:v>All-PC</c:v>
                </c:pt>
                <c:pt idx="1">
                  <c:v>NComputing incl. shared PCs</c:v>
                </c:pt>
              </c:strCache>
            </c:strRef>
          </c:cat>
          <c:val>
            <c:numRef>
              <c:f>'NCT Calculator-L Series'!$G$54:$G$55</c:f>
              <c:numCache>
                <c:ptCount val="2"/>
                <c:pt idx="0">
                  <c:v>212000</c:v>
                </c:pt>
                <c:pt idx="1">
                  <c:v>25440</c:v>
                </c:pt>
              </c:numCache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Cost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'NCT Calculator-X Series'!$E$82</c:f>
        </c:strRef>
      </c:tx>
      <c:layout>
        <c:manualLayout>
          <c:xMode val="factor"/>
          <c:yMode val="factor"/>
          <c:x val="0.02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85"/>
          <c:y val="0.17225"/>
          <c:w val="0.956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Series'!$E$79:$E$80</c:f>
              <c:strCache>
                <c:ptCount val="2"/>
                <c:pt idx="0">
                  <c:v>All-PC</c:v>
                </c:pt>
                <c:pt idx="1">
                  <c:v>NComputing incl. shared PCs</c:v>
                </c:pt>
              </c:strCache>
            </c:strRef>
          </c:cat>
          <c:val>
            <c:numRef>
              <c:f>'NCT Calculator-L Series'!$G$79:$G$80</c:f>
              <c:numCache>
                <c:ptCount val="2"/>
                <c:pt idx="0">
                  <c:v>3952000</c:v>
                </c:pt>
                <c:pt idx="1">
                  <c:v>1990200</c:v>
                </c:pt>
              </c:numCache>
            </c:numRef>
          </c:val>
        </c:ser>
        <c:axId val="45178784"/>
        <c:axId val="3955873"/>
      </c:barChart>
      <c:catAx>
        <c:axId val="4517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028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8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'NCT Calculator-X Series'!$E$95</c:f>
        </c:strRef>
      </c:tx>
      <c:layout>
        <c:manualLayout>
          <c:xMode val="factor"/>
          <c:yMode val="factor"/>
          <c:x val="0.0965"/>
          <c:y val="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6525"/>
          <c:w val="0.951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Series'!$E$91:$E$92</c:f>
              <c:strCache>
                <c:ptCount val="2"/>
                <c:pt idx="0">
                  <c:v>All-PC</c:v>
                </c:pt>
                <c:pt idx="1">
                  <c:v>NComputing incl. shared PCs</c:v>
                </c:pt>
              </c:strCache>
            </c:strRef>
          </c:cat>
          <c:val>
            <c:numRef>
              <c:f>'NCT Calculator-L Series'!$G$91:$G$92</c:f>
              <c:numCache>
                <c:ptCount val="2"/>
                <c:pt idx="0">
                  <c:v>5684500</c:v>
                </c:pt>
                <c:pt idx="1">
                  <c:v>2163450</c:v>
                </c:pt>
              </c:numCache>
            </c:numRef>
          </c:val>
        </c:ser>
        <c:axId val="35602858"/>
        <c:axId val="51990267"/>
      </c:barChart>
      <c:catAx>
        <c:axId val="3560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3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(6 yr)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2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五年石油使用量比較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加侖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21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705"/>
          <c:w val="0.913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Series'!$E$99:$E$100</c:f>
              <c:strCache>
                <c:ptCount val="2"/>
                <c:pt idx="0">
                  <c:v>All PC</c:v>
                </c:pt>
                <c:pt idx="1">
                  <c:v>NComputing incl. shared PCs</c:v>
                </c:pt>
              </c:strCache>
            </c:strRef>
          </c:cat>
          <c:val>
            <c:numRef>
              <c:f>'NCT Calculator-L Series'!$F$99:$F$100</c:f>
              <c:numCache>
                <c:ptCount val="2"/>
                <c:pt idx="0">
                  <c:v>9043.125</c:v>
                </c:pt>
                <c:pt idx="1">
                  <c:v>1085.175</c:v>
                </c:pt>
              </c:numCache>
            </c:numRef>
          </c:val>
        </c:ser>
        <c:axId val="65259220"/>
        <c:axId val="50462069"/>
      </c:barChart>
      <c:catAx>
        <c:axId val="6525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Gasoline (U.S. gallons)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9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五年碳使用量比較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公噸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34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9025"/>
          <c:w val="0.918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Series'!$E$105:$E$106</c:f>
              <c:strCache>
                <c:ptCount val="2"/>
                <c:pt idx="0">
                  <c:v>All PC</c:v>
                </c:pt>
                <c:pt idx="1">
                  <c:v>NComputing incl. shared PCs</c:v>
                </c:pt>
              </c:strCache>
            </c:strRef>
          </c:cat>
          <c:val>
            <c:numRef>
              <c:f>'NCT Calculator-L Series'!$F$105:$F$106</c:f>
              <c:numCache>
                <c:ptCount val="2"/>
                <c:pt idx="0">
                  <c:v>40.74375</c:v>
                </c:pt>
                <c:pt idx="1">
                  <c:v>4.88925</c:v>
                </c:pt>
              </c:numCache>
            </c:numRef>
          </c:val>
        </c:ser>
        <c:axId val="51505438"/>
        <c:axId val="60895759"/>
      </c:barChart>
      <c:catAx>
        <c:axId val="51505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五年二氧化碳排放量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比較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公噸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19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45"/>
          <c:w val="0.914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Series'!$E$113:$E$114</c:f>
              <c:strCache>
                <c:ptCount val="2"/>
                <c:pt idx="0">
                  <c:v>All PC</c:v>
                </c:pt>
                <c:pt idx="1">
                  <c:v>NComputing incl. shared PCs</c:v>
                </c:pt>
              </c:strCache>
            </c:strRef>
          </c:cat>
          <c:val>
            <c:numRef>
              <c:f>'NCT Calculator-L Series'!$F$113:$F$114</c:f>
              <c:numCache>
                <c:ptCount val="2"/>
                <c:pt idx="0">
                  <c:v>258.375</c:v>
                </c:pt>
                <c:pt idx="1">
                  <c:v>31.005</c:v>
                </c:pt>
              </c:numCache>
            </c:numRef>
          </c:val>
        </c:ser>
        <c:axId val="11190920"/>
        <c:axId val="33609417"/>
      </c:barChart>
      <c:catAx>
        <c:axId val="111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科技產品廢料產生比較</a:t>
            </a:r>
          </a:p>
        </c:rich>
      </c:tx>
      <c:layout>
        <c:manualLayout>
          <c:xMode val="factor"/>
          <c:yMode val="factor"/>
          <c:x val="0.0287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86"/>
          <c:w val="0.9157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Series'!$H$113:$H$114</c:f>
              <c:strCache>
                <c:ptCount val="2"/>
                <c:pt idx="0">
                  <c:v>All PC</c:v>
                </c:pt>
                <c:pt idx="1">
                  <c:v>NComputing incl. shared PCs</c:v>
                </c:pt>
              </c:strCache>
            </c:strRef>
          </c:cat>
          <c:val>
            <c:numRef>
              <c:f>'NCT Calculator-L Series'!$I$113:$I$114</c:f>
              <c:numCache>
                <c:ptCount val="2"/>
                <c:pt idx="0">
                  <c:v>0.96</c:v>
                </c:pt>
                <c:pt idx="1">
                  <c:v>0.096</c:v>
                </c:pt>
              </c:numCache>
            </c:numRef>
          </c:val>
        </c:ser>
        <c:axId val="34049298"/>
        <c:axId val="38008227"/>
      </c:barChart>
      <c:catAx>
        <c:axId val="3404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'NCT Calculator-L Series'!$E$58</c:f>
        </c:strRef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25"/>
          <c:y val="0.15775"/>
          <c:w val="0.9097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Series'!$E$54:$E$55</c:f>
            </c:strRef>
          </c:cat>
          <c:val>
            <c:numRef>
              <c:f>'NCT Calculator-L Series'!$G$54:$G$55</c:f>
            </c:numRef>
          </c:val>
        </c:ser>
        <c:axId val="45996006"/>
        <c:axId val="11310871"/>
      </c:barChart>
      <c:catAx>
        <c:axId val="4599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871"/>
        <c:crosses val="autoZero"/>
        <c:auto val="1"/>
        <c:lblOffset val="100"/>
        <c:tickLblSkip val="1"/>
        <c:noMultiLvlLbl val="0"/>
      </c:catAx>
      <c:valAx>
        <c:axId val="1131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Cost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6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'NCT Calculator-L Series'!$E$82</c:f>
        </c:strRef>
      </c:tx>
      <c:layout>
        <c:manualLayout>
          <c:xMode val="factor"/>
          <c:yMode val="factor"/>
          <c:x val="0.02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825"/>
          <c:y val="0.158"/>
          <c:w val="0.90625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Series'!$E$79:$E$80</c:f>
            </c:strRef>
          </c:cat>
          <c:val>
            <c:numRef>
              <c:f>'NCT Calculator-L Series'!$G$79:$G$80</c:f>
            </c:numRef>
          </c:val>
        </c:ser>
        <c:axId val="34688976"/>
        <c:axId val="43765329"/>
      </c:barChart>
      <c:catAx>
        <c:axId val="3468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'NCT Calculator-L Series'!$E$95</c:f>
        </c:strRef>
      </c:tx>
      <c:layout>
        <c:manualLayout>
          <c:xMode val="factor"/>
          <c:yMode val="factor"/>
          <c:x val="0.0965"/>
          <c:y val="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25"/>
          <c:y val="0.15225"/>
          <c:w val="0.918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Series'!$E$91:$E$92</c:f>
            </c:strRef>
          </c:cat>
          <c:val>
            <c:numRef>
              <c:f>'NCT Calculator-L Series'!$G$91:$G$92</c:f>
            </c:numRef>
          </c:val>
        </c:ser>
        <c:axId val="58343642"/>
        <c:axId val="55330731"/>
      </c:barChart>
      <c:catAx>
        <c:axId val="5834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(6 yr)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3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五年石油使用量比較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加侖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21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475"/>
          <c:w val="0.902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Series'!$E$99:$E$100</c:f>
            </c:strRef>
          </c:cat>
          <c:val>
            <c:numRef>
              <c:f>'NCT Calculator-L Series'!$F$99:$F$100</c:f>
            </c:numRef>
          </c:val>
        </c:ser>
        <c:axId val="28214532"/>
        <c:axId val="52604197"/>
      </c:barChart>
      <c:catAx>
        <c:axId val="282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7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Gasoline (U.S. gallons)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五年碳使用量比較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公噸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34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875"/>
          <c:w val="0.895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Series'!$E$105:$E$106</c:f>
            </c:strRef>
          </c:cat>
          <c:val>
            <c:numRef>
              <c:f>'NCT Calculator-L Series'!$F$105:$F$106</c:f>
            </c:numRef>
          </c:val>
        </c:ser>
        <c:axId val="3675726"/>
        <c:axId val="33081535"/>
      </c:barChart>
      <c:catAx>
        <c:axId val="3675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五年二氧化碳排放量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比較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公噸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19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3"/>
          <c:w val="0.898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Series'!$E$113:$E$114</c:f>
            </c:strRef>
          </c:cat>
          <c:val>
            <c:numRef>
              <c:f>'NCT Calculator-L Series'!$F$113:$F$114</c:f>
            </c:numRef>
          </c:val>
        </c:ser>
        <c:axId val="29298360"/>
        <c:axId val="62358649"/>
      </c:barChart>
      <c:catAx>
        <c:axId val="292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科技產品廢料產生比較</a:t>
            </a:r>
          </a:p>
        </c:rich>
      </c:tx>
      <c:layout>
        <c:manualLayout>
          <c:xMode val="factor"/>
          <c:yMode val="factor"/>
          <c:x val="0.0287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875"/>
          <c:w val="0.889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Series'!$H$113:$H$114</c:f>
            </c:strRef>
          </c:cat>
          <c:val>
            <c:numRef>
              <c:f>'NCT Calculator-L Series'!$I$113:$I$114</c:f>
            </c:numRef>
          </c:val>
        </c:ser>
        <c:axId val="24356930"/>
        <c:axId val="17885779"/>
      </c:barChart>
      <c:catAx>
        <c:axId val="2435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'NCT Calculator-X Series'!$E$50</c:f>
        </c:strRef>
      </c:tx>
      <c:layout>
        <c:manualLayout>
          <c:xMode val="factor"/>
          <c:yMode val="factor"/>
          <c:x val="-0.058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75"/>
          <c:y val="0.17525"/>
          <c:w val="0.9322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'NCT Calculator-L Series'!$E$40:$E$41</c:f>
              <c:strCache>
                <c:ptCount val="2"/>
                <c:pt idx="0">
                  <c:v>All-PC</c:v>
                </c:pt>
                <c:pt idx="1">
                  <c:v>NComputing incl. shared PCs</c:v>
                </c:pt>
              </c:strCache>
            </c:strRef>
          </c:cat>
          <c:val>
            <c:numRef>
              <c:f>'NCT Calculator-L Series'!$G$40:$G$41</c:f>
              <c:numCache>
                <c:ptCount val="2"/>
                <c:pt idx="0">
                  <c:v>2142000</c:v>
                </c:pt>
                <c:pt idx="1">
                  <c:v>1705200</c:v>
                </c:pt>
              </c:numCache>
            </c:numRef>
          </c:val>
        </c:ser>
        <c:axId val="26754284"/>
        <c:axId val="39461965"/>
      </c:barChart>
      <c:catAx>
        <c:axId val="26754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Type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Acquisition Cost</a:t>
                </a:r>
              </a:p>
            </c:rich>
          </c:tx>
          <c:layout>
            <c:manualLayout>
              <c:xMode val="factor"/>
              <c:yMode val="factor"/>
              <c:x val="-0.028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Relationship Id="rId10" Type="http://schemas.openxmlformats.org/officeDocument/2006/relationships/image" Target="../media/image2.jpeg" /><Relationship Id="rId1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Relationship Id="rId10" Type="http://schemas.openxmlformats.org/officeDocument/2006/relationships/image" Target="../media/image2.jpeg" /><Relationship Id="rId1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102</xdr:row>
      <xdr:rowOff>0</xdr:rowOff>
    </xdr:from>
    <xdr:to>
      <xdr:col>1</xdr:col>
      <xdr:colOff>4076700</xdr:colOff>
      <xdr:row>116</xdr:row>
      <xdr:rowOff>123825</xdr:rowOff>
    </xdr:to>
    <xdr:graphicFrame>
      <xdr:nvGraphicFramePr>
        <xdr:cNvPr id="1" name="Chart 4"/>
        <xdr:cNvGraphicFramePr/>
      </xdr:nvGraphicFramePr>
      <xdr:xfrm>
        <a:off x="304800" y="17278350"/>
        <a:ext cx="4000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4305300</xdr:colOff>
      <xdr:row>102</xdr:row>
      <xdr:rowOff>0</xdr:rowOff>
    </xdr:from>
    <xdr:to>
      <xdr:col>9</xdr:col>
      <xdr:colOff>0</xdr:colOff>
      <xdr:row>116</xdr:row>
      <xdr:rowOff>123825</xdr:rowOff>
    </xdr:to>
    <xdr:graphicFrame>
      <xdr:nvGraphicFramePr>
        <xdr:cNvPr id="2" name="Chart 6"/>
        <xdr:cNvGraphicFramePr/>
      </xdr:nvGraphicFramePr>
      <xdr:xfrm>
        <a:off x="4533900" y="17278350"/>
        <a:ext cx="37338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117</xdr:row>
      <xdr:rowOff>114300</xdr:rowOff>
    </xdr:from>
    <xdr:to>
      <xdr:col>1</xdr:col>
      <xdr:colOff>4076700</xdr:colOff>
      <xdr:row>133</xdr:row>
      <xdr:rowOff>57150</xdr:rowOff>
    </xdr:to>
    <xdr:graphicFrame>
      <xdr:nvGraphicFramePr>
        <xdr:cNvPr id="3" name="Chart 7"/>
        <xdr:cNvGraphicFramePr/>
      </xdr:nvGraphicFramePr>
      <xdr:xfrm>
        <a:off x="304800" y="19964400"/>
        <a:ext cx="40005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4305300</xdr:colOff>
      <xdr:row>117</xdr:row>
      <xdr:rowOff>114300</xdr:rowOff>
    </xdr:from>
    <xdr:to>
      <xdr:col>9</xdr:col>
      <xdr:colOff>0</xdr:colOff>
      <xdr:row>133</xdr:row>
      <xdr:rowOff>47625</xdr:rowOff>
    </xdr:to>
    <xdr:graphicFrame>
      <xdr:nvGraphicFramePr>
        <xdr:cNvPr id="4" name="Chart 8"/>
        <xdr:cNvGraphicFramePr/>
      </xdr:nvGraphicFramePr>
      <xdr:xfrm>
        <a:off x="4533900" y="19964400"/>
        <a:ext cx="37338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134</xdr:row>
      <xdr:rowOff>38100</xdr:rowOff>
    </xdr:from>
    <xdr:to>
      <xdr:col>1</xdr:col>
      <xdr:colOff>4086225</xdr:colOff>
      <xdr:row>149</xdr:row>
      <xdr:rowOff>85725</xdr:rowOff>
    </xdr:to>
    <xdr:graphicFrame>
      <xdr:nvGraphicFramePr>
        <xdr:cNvPr id="5" name="Chart 13"/>
        <xdr:cNvGraphicFramePr/>
      </xdr:nvGraphicFramePr>
      <xdr:xfrm>
        <a:off x="304800" y="22802850"/>
        <a:ext cx="40100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4314825</xdr:colOff>
      <xdr:row>134</xdr:row>
      <xdr:rowOff>38100</xdr:rowOff>
    </xdr:from>
    <xdr:to>
      <xdr:col>9</xdr:col>
      <xdr:colOff>0</xdr:colOff>
      <xdr:row>149</xdr:row>
      <xdr:rowOff>95250</xdr:rowOff>
    </xdr:to>
    <xdr:graphicFrame>
      <xdr:nvGraphicFramePr>
        <xdr:cNvPr id="6" name="Chart 14"/>
        <xdr:cNvGraphicFramePr/>
      </xdr:nvGraphicFramePr>
      <xdr:xfrm>
        <a:off x="4543425" y="22802850"/>
        <a:ext cx="372427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150</xdr:row>
      <xdr:rowOff>76200</xdr:rowOff>
    </xdr:from>
    <xdr:to>
      <xdr:col>1</xdr:col>
      <xdr:colOff>4095750</xdr:colOff>
      <xdr:row>165</xdr:row>
      <xdr:rowOff>142875</xdr:rowOff>
    </xdr:to>
    <xdr:graphicFrame>
      <xdr:nvGraphicFramePr>
        <xdr:cNvPr id="7" name="Chart 15"/>
        <xdr:cNvGraphicFramePr/>
      </xdr:nvGraphicFramePr>
      <xdr:xfrm>
        <a:off x="304800" y="25584150"/>
        <a:ext cx="401955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4324350</xdr:colOff>
      <xdr:row>150</xdr:row>
      <xdr:rowOff>76200</xdr:rowOff>
    </xdr:from>
    <xdr:to>
      <xdr:col>9</xdr:col>
      <xdr:colOff>0</xdr:colOff>
      <xdr:row>165</xdr:row>
      <xdr:rowOff>142875</xdr:rowOff>
    </xdr:to>
    <xdr:graphicFrame>
      <xdr:nvGraphicFramePr>
        <xdr:cNvPr id="8" name="Chart 16"/>
        <xdr:cNvGraphicFramePr/>
      </xdr:nvGraphicFramePr>
      <xdr:xfrm>
        <a:off x="4552950" y="25584150"/>
        <a:ext cx="3714750" cy="2638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2</xdr:col>
      <xdr:colOff>0</xdr:colOff>
      <xdr:row>0</xdr:row>
      <xdr:rowOff>85725</xdr:rowOff>
    </xdr:from>
    <xdr:to>
      <xdr:col>2</xdr:col>
      <xdr:colOff>923925</xdr:colOff>
      <xdr:row>2</xdr:row>
      <xdr:rowOff>47625</xdr:rowOff>
    </xdr:to>
    <xdr:pic>
      <xdr:nvPicPr>
        <xdr:cNvPr id="9" name="Picture 6" descr="green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81850" y="857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0</xdr:row>
      <xdr:rowOff>247650</xdr:rowOff>
    </xdr:from>
    <xdr:to>
      <xdr:col>1</xdr:col>
      <xdr:colOff>4171950</xdr:colOff>
      <xdr:row>1</xdr:row>
      <xdr:rowOff>28575</xdr:rowOff>
    </xdr:to>
    <xdr:pic>
      <xdr:nvPicPr>
        <xdr:cNvPr id="10" name="圖片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28900" y="247650"/>
          <a:ext cx="177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247650</xdr:rowOff>
    </xdr:from>
    <xdr:to>
      <xdr:col>1</xdr:col>
      <xdr:colOff>2105025</xdr:colOff>
      <xdr:row>0</xdr:row>
      <xdr:rowOff>733425</xdr:rowOff>
    </xdr:to>
    <xdr:pic>
      <xdr:nvPicPr>
        <xdr:cNvPr id="11" name="圖片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" y="247650"/>
          <a:ext cx="1857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102</xdr:row>
      <xdr:rowOff>0</xdr:rowOff>
    </xdr:from>
    <xdr:to>
      <xdr:col>1</xdr:col>
      <xdr:colOff>4076700</xdr:colOff>
      <xdr:row>116</xdr:row>
      <xdr:rowOff>123825</xdr:rowOff>
    </xdr:to>
    <xdr:graphicFrame>
      <xdr:nvGraphicFramePr>
        <xdr:cNvPr id="1" name="Chart 4"/>
        <xdr:cNvGraphicFramePr/>
      </xdr:nvGraphicFramePr>
      <xdr:xfrm>
        <a:off x="304800" y="17259300"/>
        <a:ext cx="4000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4305300</xdr:colOff>
      <xdr:row>102</xdr:row>
      <xdr:rowOff>0</xdr:rowOff>
    </xdr:from>
    <xdr:to>
      <xdr:col>9</xdr:col>
      <xdr:colOff>0</xdr:colOff>
      <xdr:row>116</xdr:row>
      <xdr:rowOff>123825</xdr:rowOff>
    </xdr:to>
    <xdr:graphicFrame>
      <xdr:nvGraphicFramePr>
        <xdr:cNvPr id="2" name="Chart 6"/>
        <xdr:cNvGraphicFramePr/>
      </xdr:nvGraphicFramePr>
      <xdr:xfrm>
        <a:off x="4533900" y="17259300"/>
        <a:ext cx="37338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117</xdr:row>
      <xdr:rowOff>114300</xdr:rowOff>
    </xdr:from>
    <xdr:to>
      <xdr:col>1</xdr:col>
      <xdr:colOff>4076700</xdr:colOff>
      <xdr:row>133</xdr:row>
      <xdr:rowOff>57150</xdr:rowOff>
    </xdr:to>
    <xdr:graphicFrame>
      <xdr:nvGraphicFramePr>
        <xdr:cNvPr id="3" name="Chart 7"/>
        <xdr:cNvGraphicFramePr/>
      </xdr:nvGraphicFramePr>
      <xdr:xfrm>
        <a:off x="304800" y="19945350"/>
        <a:ext cx="40005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4305300</xdr:colOff>
      <xdr:row>117</xdr:row>
      <xdr:rowOff>114300</xdr:rowOff>
    </xdr:from>
    <xdr:to>
      <xdr:col>9</xdr:col>
      <xdr:colOff>0</xdr:colOff>
      <xdr:row>133</xdr:row>
      <xdr:rowOff>47625</xdr:rowOff>
    </xdr:to>
    <xdr:graphicFrame>
      <xdr:nvGraphicFramePr>
        <xdr:cNvPr id="4" name="Chart 8"/>
        <xdr:cNvGraphicFramePr/>
      </xdr:nvGraphicFramePr>
      <xdr:xfrm>
        <a:off x="4533900" y="19945350"/>
        <a:ext cx="37338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134</xdr:row>
      <xdr:rowOff>38100</xdr:rowOff>
    </xdr:from>
    <xdr:to>
      <xdr:col>1</xdr:col>
      <xdr:colOff>4086225</xdr:colOff>
      <xdr:row>149</xdr:row>
      <xdr:rowOff>85725</xdr:rowOff>
    </xdr:to>
    <xdr:graphicFrame>
      <xdr:nvGraphicFramePr>
        <xdr:cNvPr id="5" name="Chart 13"/>
        <xdr:cNvGraphicFramePr/>
      </xdr:nvGraphicFramePr>
      <xdr:xfrm>
        <a:off x="304800" y="22783800"/>
        <a:ext cx="40100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4314825</xdr:colOff>
      <xdr:row>134</xdr:row>
      <xdr:rowOff>38100</xdr:rowOff>
    </xdr:from>
    <xdr:to>
      <xdr:col>9</xdr:col>
      <xdr:colOff>0</xdr:colOff>
      <xdr:row>149</xdr:row>
      <xdr:rowOff>95250</xdr:rowOff>
    </xdr:to>
    <xdr:graphicFrame>
      <xdr:nvGraphicFramePr>
        <xdr:cNvPr id="6" name="Chart 14"/>
        <xdr:cNvGraphicFramePr/>
      </xdr:nvGraphicFramePr>
      <xdr:xfrm>
        <a:off x="4543425" y="22783800"/>
        <a:ext cx="372427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150</xdr:row>
      <xdr:rowOff>76200</xdr:rowOff>
    </xdr:from>
    <xdr:to>
      <xdr:col>1</xdr:col>
      <xdr:colOff>4095750</xdr:colOff>
      <xdr:row>165</xdr:row>
      <xdr:rowOff>142875</xdr:rowOff>
    </xdr:to>
    <xdr:graphicFrame>
      <xdr:nvGraphicFramePr>
        <xdr:cNvPr id="7" name="Chart 15"/>
        <xdr:cNvGraphicFramePr/>
      </xdr:nvGraphicFramePr>
      <xdr:xfrm>
        <a:off x="304800" y="25565100"/>
        <a:ext cx="401955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4324350</xdr:colOff>
      <xdr:row>150</xdr:row>
      <xdr:rowOff>76200</xdr:rowOff>
    </xdr:from>
    <xdr:to>
      <xdr:col>9</xdr:col>
      <xdr:colOff>0</xdr:colOff>
      <xdr:row>165</xdr:row>
      <xdr:rowOff>142875</xdr:rowOff>
    </xdr:to>
    <xdr:graphicFrame>
      <xdr:nvGraphicFramePr>
        <xdr:cNvPr id="8" name="Chart 16"/>
        <xdr:cNvGraphicFramePr/>
      </xdr:nvGraphicFramePr>
      <xdr:xfrm>
        <a:off x="4552950" y="25565100"/>
        <a:ext cx="3714750" cy="2638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2</xdr:col>
      <xdr:colOff>0</xdr:colOff>
      <xdr:row>0</xdr:row>
      <xdr:rowOff>85725</xdr:rowOff>
    </xdr:from>
    <xdr:to>
      <xdr:col>2</xdr:col>
      <xdr:colOff>895350</xdr:colOff>
      <xdr:row>2</xdr:row>
      <xdr:rowOff>57150</xdr:rowOff>
    </xdr:to>
    <xdr:pic>
      <xdr:nvPicPr>
        <xdr:cNvPr id="9" name="Picture 6" descr="green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81850" y="8572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0</xdr:row>
      <xdr:rowOff>228600</xdr:rowOff>
    </xdr:from>
    <xdr:to>
      <xdr:col>1</xdr:col>
      <xdr:colOff>4171950</xdr:colOff>
      <xdr:row>1</xdr:row>
      <xdr:rowOff>238125</xdr:rowOff>
    </xdr:to>
    <xdr:pic>
      <xdr:nvPicPr>
        <xdr:cNvPr id="10" name="圖片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28900" y="228600"/>
          <a:ext cx="177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228600</xdr:rowOff>
    </xdr:from>
    <xdr:to>
      <xdr:col>1</xdr:col>
      <xdr:colOff>2105025</xdr:colOff>
      <xdr:row>1</xdr:row>
      <xdr:rowOff>219075</xdr:rowOff>
    </xdr:to>
    <xdr:pic>
      <xdr:nvPicPr>
        <xdr:cNvPr id="11" name="圖片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" y="228600"/>
          <a:ext cx="1857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181"/>
  <sheetViews>
    <sheetView showGridLines="0" tabSelected="1" zoomScale="80" zoomScaleNormal="80" zoomScaleSheetLayoutView="100" zoomScalePageLayoutView="0" workbookViewId="0" topLeftCell="A1">
      <selection activeCell="B26" sqref="B26"/>
    </sheetView>
  </sheetViews>
  <sheetFormatPr defaultColWidth="9.140625" defaultRowHeight="13.5" customHeight="1"/>
  <cols>
    <col min="1" max="1" width="3.421875" style="3" customWidth="1"/>
    <col min="2" max="2" width="104.28125" style="52" customWidth="1"/>
    <col min="3" max="3" width="16.28125" style="6" customWidth="1"/>
    <col min="4" max="4" width="5.57421875" style="1" hidden="1" customWidth="1"/>
    <col min="5" max="5" width="11.00390625" style="2" hidden="1" customWidth="1"/>
    <col min="6" max="6" width="18.28125" style="2" hidden="1" customWidth="1"/>
    <col min="7" max="7" width="13.421875" style="2" hidden="1" customWidth="1"/>
    <col min="8" max="9" width="9.140625" style="2" hidden="1" customWidth="1"/>
    <col min="10" max="10" width="2.00390625" style="2" hidden="1" customWidth="1"/>
    <col min="11" max="11" width="8.8515625" style="2" hidden="1" customWidth="1"/>
    <col min="12" max="59" width="9.140625" style="2" customWidth="1"/>
    <col min="60" max="16384" width="9.140625" style="3" customWidth="1"/>
  </cols>
  <sheetData>
    <row r="1" spans="2:59" s="59" customFormat="1" ht="57.75" customHeight="1">
      <c r="B1" s="60"/>
      <c r="C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</row>
    <row r="2" spans="2:59" s="59" customFormat="1" ht="19.5" customHeight="1">
      <c r="B2" s="63"/>
      <c r="C2" s="64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</row>
    <row r="3" spans="2:59" s="59" customFormat="1" ht="34.5" customHeight="1" thickBot="1">
      <c r="B3" s="65" t="s">
        <v>35</v>
      </c>
      <c r="C3" s="66" t="s">
        <v>24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</row>
    <row r="4" spans="2:3" ht="17.25" customHeight="1">
      <c r="B4" s="51"/>
      <c r="C4" s="11"/>
    </row>
    <row r="5" spans="2:3" ht="19.5" customHeight="1" thickBot="1">
      <c r="B5" s="67" t="s">
        <v>41</v>
      </c>
      <c r="C5" s="45"/>
    </row>
    <row r="6" spans="2:3" ht="4.5" customHeight="1">
      <c r="B6" s="51"/>
      <c r="C6" s="9"/>
    </row>
    <row r="7" spans="2:59" ht="13.5" customHeight="1">
      <c r="B7" s="68" t="s">
        <v>42</v>
      </c>
      <c r="C7" s="69">
        <v>100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2:59" ht="4.5" customHeight="1">
      <c r="B8" s="47"/>
      <c r="C8" s="4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2:59" ht="13.5" customHeight="1">
      <c r="B9" s="70" t="s">
        <v>43</v>
      </c>
      <c r="C9" s="71">
        <f>16500</f>
        <v>16500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2:59" ht="4.5" customHeight="1">
      <c r="B10" s="48"/>
      <c r="C10" s="4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ht="13.5" customHeight="1">
      <c r="B11" s="70" t="s">
        <v>44</v>
      </c>
      <c r="C11" s="71">
        <v>7500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ht="4.5" customHeight="1">
      <c r="B12" s="70"/>
      <c r="C12" s="7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59" ht="13.5" customHeight="1">
      <c r="B13" s="70" t="s">
        <v>45</v>
      </c>
      <c r="C13" s="73">
        <v>250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2:59" ht="4.5" customHeight="1">
      <c r="B14" s="70"/>
      <c r="C14" s="7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2:59" ht="13.5" customHeight="1">
      <c r="B15" s="75" t="s">
        <v>46</v>
      </c>
      <c r="C15" s="73">
        <v>10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2:59" ht="4.5" customHeight="1">
      <c r="B16" s="75"/>
      <c r="C16" s="7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2:59" ht="13.5" customHeight="1">
      <c r="B17" s="75" t="s">
        <v>116</v>
      </c>
      <c r="C17" s="73">
        <v>265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2:59" ht="4.5" customHeight="1">
      <c r="B18" s="75"/>
      <c r="C18" s="7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2:59" ht="13.5" customHeight="1">
      <c r="B19" s="70" t="s">
        <v>115</v>
      </c>
      <c r="C19" s="76">
        <v>3.2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2:59" ht="4.5" customHeight="1">
      <c r="B20" s="48"/>
      <c r="C20" s="4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2:59" ht="13.5" customHeight="1">
      <c r="B21" s="77" t="s">
        <v>112</v>
      </c>
      <c r="C21" s="73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2:59" ht="4.5" customHeight="1">
      <c r="B22" s="70"/>
      <c r="C22" s="7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2:59" ht="13.5" customHeight="1">
      <c r="B23" s="78" t="s">
        <v>113</v>
      </c>
      <c r="C23" s="79">
        <f>C7/C21</f>
        <v>10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2:59" ht="13.5" customHeight="1">
      <c r="B24" s="78" t="s">
        <v>114</v>
      </c>
      <c r="C24" s="79">
        <f>C7</f>
        <v>100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2:59" ht="4.5" customHeight="1">
      <c r="B25" s="50"/>
      <c r="C25" s="3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2:59" ht="13.5" customHeight="1">
      <c r="B26" s="70" t="s">
        <v>52</v>
      </c>
      <c r="C26" s="71">
        <v>7800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2:59" ht="4.5" customHeight="1">
      <c r="B27" s="70"/>
      <c r="C27" s="7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2:59" ht="13.5" customHeight="1">
      <c r="B28" s="70" t="s">
        <v>49</v>
      </c>
      <c r="C28" s="71">
        <v>3500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2:59" ht="4.5" customHeight="1">
      <c r="B29" s="70"/>
      <c r="C29" s="7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2:59" ht="13.5" customHeight="1">
      <c r="B30" s="75" t="s">
        <v>50</v>
      </c>
      <c r="C30" s="71">
        <v>400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2:59" ht="4.5" customHeight="1">
      <c r="B31" s="75"/>
      <c r="C31" s="7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2:59" ht="13.5" customHeight="1">
      <c r="B32" s="75" t="s">
        <v>37</v>
      </c>
      <c r="C32" s="71">
        <v>2500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2:59" ht="4.5" customHeight="1">
      <c r="B33" s="75"/>
      <c r="C33" s="7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2:59" ht="13.5" customHeight="1">
      <c r="B34" s="70" t="s">
        <v>51</v>
      </c>
      <c r="C34" s="73">
        <v>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2:59" ht="4.5" customHeight="1">
      <c r="B35" s="48"/>
      <c r="C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2:3" ht="13.5" customHeight="1">
      <c r="B36" s="53"/>
      <c r="C36" s="9"/>
    </row>
    <row r="37" spans="2:5" ht="23.25" customHeight="1" thickBot="1">
      <c r="B37" s="80" t="s">
        <v>25</v>
      </c>
      <c r="C37" s="81"/>
      <c r="E37" s="2" t="s">
        <v>7</v>
      </c>
    </row>
    <row r="38" spans="2:3" ht="4.5" customHeight="1">
      <c r="B38" s="70"/>
      <c r="C38" s="82"/>
    </row>
    <row r="39" spans="2:8" ht="18" customHeight="1">
      <c r="B39" s="83" t="s">
        <v>54</v>
      </c>
      <c r="C39" s="82"/>
      <c r="E39" s="25" t="s">
        <v>8</v>
      </c>
      <c r="F39" s="19"/>
      <c r="G39" s="19"/>
      <c r="H39" s="20"/>
    </row>
    <row r="40" spans="2:12" ht="13.5" customHeight="1">
      <c r="B40" s="70" t="s">
        <v>111</v>
      </c>
      <c r="C40" s="84">
        <f>(C7*C9+C28*C7+C30*C7)*1.05</f>
        <v>2142000</v>
      </c>
      <c r="E40" s="21" t="s">
        <v>2</v>
      </c>
      <c r="G40" s="5">
        <f>C40</f>
        <v>2142000</v>
      </c>
      <c r="H40" s="22"/>
      <c r="L40" s="128" t="s">
        <v>53</v>
      </c>
    </row>
    <row r="41" spans="2:8" ht="13.5" customHeight="1">
      <c r="B41" s="85" t="s">
        <v>56</v>
      </c>
      <c r="C41" s="86"/>
      <c r="E41" s="21" t="s">
        <v>15</v>
      </c>
      <c r="G41" s="5">
        <f>C47</f>
        <v>1705200</v>
      </c>
      <c r="H41" s="22"/>
    </row>
    <row r="42" spans="2:12" ht="13.5" customHeight="1">
      <c r="B42" s="87" t="s">
        <v>57</v>
      </c>
      <c r="C42" s="88">
        <f>C9*C23*1.05</f>
        <v>173250</v>
      </c>
      <c r="E42" s="21"/>
      <c r="H42" s="22"/>
      <c r="L42" s="128" t="s">
        <v>53</v>
      </c>
    </row>
    <row r="43" spans="2:12" ht="13.5" customHeight="1">
      <c r="B43" s="87" t="s">
        <v>58</v>
      </c>
      <c r="C43" s="88">
        <f>C26*C24*1.05</f>
        <v>819000</v>
      </c>
      <c r="E43" s="21"/>
      <c r="H43" s="22"/>
      <c r="L43" s="128" t="s">
        <v>53</v>
      </c>
    </row>
    <row r="44" spans="2:12" ht="13.5" customHeight="1">
      <c r="B44" s="87" t="s">
        <v>59</v>
      </c>
      <c r="C44" s="88">
        <f>C28*(C24+C23)*1.05</f>
        <v>404250</v>
      </c>
      <c r="E44" s="21"/>
      <c r="H44" s="22"/>
      <c r="L44" s="128" t="s">
        <v>53</v>
      </c>
    </row>
    <row r="45" spans="2:12" ht="13.5" customHeight="1">
      <c r="B45" s="87" t="s">
        <v>60</v>
      </c>
      <c r="C45" s="88">
        <f>C30*(C24+C23)*1.05</f>
        <v>46200</v>
      </c>
      <c r="E45" s="21"/>
      <c r="H45" s="22"/>
      <c r="L45" s="128" t="s">
        <v>53</v>
      </c>
    </row>
    <row r="46" spans="2:12" ht="13.5" customHeight="1">
      <c r="B46" s="87" t="s">
        <v>61</v>
      </c>
      <c r="C46" s="89">
        <f>C32*C24*1.05</f>
        <v>262500</v>
      </c>
      <c r="E46" s="21"/>
      <c r="H46" s="22"/>
      <c r="L46" s="128" t="s">
        <v>53</v>
      </c>
    </row>
    <row r="47" spans="2:12" ht="13.5" customHeight="1">
      <c r="B47" s="90" t="s">
        <v>62</v>
      </c>
      <c r="C47" s="91">
        <f>C46+C45+C44+C43+C42</f>
        <v>1705200</v>
      </c>
      <c r="E47" s="21"/>
      <c r="H47" s="22"/>
      <c r="L47" s="128" t="s">
        <v>53</v>
      </c>
    </row>
    <row r="48" spans="2:8" ht="13.5" customHeight="1">
      <c r="B48" s="48"/>
      <c r="C48" s="7"/>
      <c r="E48" s="21"/>
      <c r="H48" s="22"/>
    </row>
    <row r="49" spans="2:8" ht="13.5" customHeight="1">
      <c r="B49" s="92" t="s">
        <v>63</v>
      </c>
      <c r="C49" s="101">
        <f>C40-C47</f>
        <v>436800</v>
      </c>
      <c r="E49" s="21"/>
      <c r="H49" s="22"/>
    </row>
    <row r="50" spans="2:8" ht="13.5" customHeight="1">
      <c r="B50" s="92" t="s">
        <v>64</v>
      </c>
      <c r="C50" s="100">
        <f>SUM(C40-C47)/C40</f>
        <v>0.20392156862745098</v>
      </c>
      <c r="E50" s="124" t="str">
        <f>"首年採購總成本減少 "&amp;TEXT(C50,"0%")&amp;""</f>
        <v>首年採購總成本減少 20%</v>
      </c>
      <c r="F50" s="23"/>
      <c r="G50" s="23"/>
      <c r="H50" s="24"/>
    </row>
    <row r="51" spans="2:3" ht="13.5" customHeight="1">
      <c r="B51" s="48"/>
      <c r="C51" s="7"/>
    </row>
    <row r="52" spans="2:59" ht="13.5" customHeight="1">
      <c r="B52" s="83" t="s">
        <v>65</v>
      </c>
      <c r="C52" s="92"/>
      <c r="E52" s="25" t="s">
        <v>9</v>
      </c>
      <c r="F52" s="19"/>
      <c r="G52" s="19"/>
      <c r="H52" s="2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2:59" ht="13.5" customHeight="1">
      <c r="B53" s="70" t="s">
        <v>66</v>
      </c>
      <c r="C53" s="93">
        <f>(C7*C13*C15*C17)/1000</f>
        <v>66250</v>
      </c>
      <c r="E53" s="21"/>
      <c r="H53" s="2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2:59" ht="13.5" customHeight="1">
      <c r="B54" s="70" t="s">
        <v>67</v>
      </c>
      <c r="C54" s="94">
        <f>C53*C19</f>
        <v>212000</v>
      </c>
      <c r="E54" s="27" t="s">
        <v>2</v>
      </c>
      <c r="F54" s="3"/>
      <c r="G54" s="13">
        <f>C54</f>
        <v>212000</v>
      </c>
      <c r="H54" s="2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2:59" ht="13.5" customHeight="1">
      <c r="B55" s="95" t="s">
        <v>68</v>
      </c>
      <c r="C55" s="96">
        <f>(C13*C15*C17*C23/1000)+(C15*C17*C24*C34/1000)</f>
        <v>7950</v>
      </c>
      <c r="E55" s="27" t="s">
        <v>15</v>
      </c>
      <c r="F55" s="3"/>
      <c r="G55" s="13">
        <f>C56</f>
        <v>25440</v>
      </c>
      <c r="H55" s="2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2:59" ht="13.5" customHeight="1">
      <c r="B56" s="97" t="s">
        <v>69</v>
      </c>
      <c r="C56" s="98">
        <f>C55*C19</f>
        <v>25440</v>
      </c>
      <c r="E56" s="27"/>
      <c r="F56" s="3"/>
      <c r="G56" s="13"/>
      <c r="H56" s="2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2:59" ht="13.5" customHeight="1">
      <c r="B57" s="92" t="s">
        <v>70</v>
      </c>
      <c r="C57" s="99">
        <f>C53-C55</f>
        <v>58300</v>
      </c>
      <c r="E57" s="27"/>
      <c r="F57" s="3"/>
      <c r="G57" s="3"/>
      <c r="H57" s="2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2:59" ht="13.5" customHeight="1">
      <c r="B58" s="92" t="s">
        <v>71</v>
      </c>
      <c r="C58" s="100">
        <f>(C53-C55)/C53</f>
        <v>0.88</v>
      </c>
      <c r="E58" s="125" t="str">
        <f>"1年可節省電力總費用 "&amp;TEXT(C58,"0%")&amp;""</f>
        <v>1年可節省電力總費用 88%</v>
      </c>
      <c r="F58" s="3"/>
      <c r="G58" s="3"/>
      <c r="H58" s="2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2:59" ht="13.5" customHeight="1">
      <c r="B59" s="92" t="s">
        <v>72</v>
      </c>
      <c r="C59" s="101">
        <f>C57*C19</f>
        <v>186560</v>
      </c>
      <c r="E59" s="29"/>
      <c r="F59" s="30"/>
      <c r="G59" s="30"/>
      <c r="H59" s="3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2:59" ht="13.5" customHeight="1">
      <c r="B60" s="48"/>
      <c r="C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2:59" ht="21" customHeight="1">
      <c r="B61" s="83" t="s">
        <v>73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2:59" ht="13.5" customHeight="1">
      <c r="B62" s="48"/>
      <c r="C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2:59" ht="13.5" customHeight="1">
      <c r="B63" s="102" t="s">
        <v>74</v>
      </c>
      <c r="C63" s="10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2:59" ht="13.5" customHeight="1">
      <c r="B64" s="78" t="s">
        <v>75</v>
      </c>
      <c r="C64" s="103">
        <f>C11*C7</f>
        <v>750000</v>
      </c>
      <c r="E64" s="3"/>
      <c r="F64" s="3"/>
      <c r="G64" s="3"/>
      <c r="H64" s="3"/>
      <c r="I64" s="3"/>
      <c r="J64" s="3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2:59" ht="13.5" customHeight="1">
      <c r="B65" s="104" t="s">
        <v>76</v>
      </c>
      <c r="C65" s="105">
        <f>(C11*C23)</f>
        <v>75000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2:59" ht="13.5" customHeight="1">
      <c r="B66" s="106" t="s">
        <v>77</v>
      </c>
      <c r="C66" s="88">
        <f>ROUNDUP(C24/300,0)*C26</f>
        <v>7800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2:59" ht="13.5" customHeight="1">
      <c r="B67" s="90" t="s">
        <v>78</v>
      </c>
      <c r="C67" s="91">
        <f>C65+C66</f>
        <v>82800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2:59" ht="13.5" customHeight="1">
      <c r="B68" s="92" t="s">
        <v>79</v>
      </c>
      <c r="C68" s="101">
        <f>C64-C67</f>
        <v>667200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:59" ht="13.5" customHeight="1">
      <c r="B69" s="92" t="s">
        <v>80</v>
      </c>
      <c r="C69" s="100">
        <f>SUM(C64-C67)/C64</f>
        <v>0.8896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2:59" ht="13.5" customHeight="1">
      <c r="B70" s="48"/>
      <c r="C70" s="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2:59" ht="13.5" customHeight="1">
      <c r="B71" s="102" t="s">
        <v>81</v>
      </c>
      <c r="C71" s="10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2:59" ht="13.5" customHeight="1">
      <c r="B72" s="107" t="s">
        <v>82</v>
      </c>
      <c r="C72" s="103">
        <f>C54*5</f>
        <v>1060000</v>
      </c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2:59" ht="13.5" customHeight="1">
      <c r="B73" s="108" t="s">
        <v>83</v>
      </c>
      <c r="C73" s="109">
        <f>C56*5</f>
        <v>127200</v>
      </c>
      <c r="E73" s="4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2:59" ht="13.5" customHeight="1">
      <c r="B74" s="92" t="s">
        <v>84</v>
      </c>
      <c r="C74" s="101">
        <f>C72-C73</f>
        <v>932800</v>
      </c>
      <c r="E74" s="4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2:59" ht="13.5" customHeight="1">
      <c r="B75" s="92" t="s">
        <v>85</v>
      </c>
      <c r="C75" s="100">
        <f>(C72-C73)/C72</f>
        <v>0.88</v>
      </c>
      <c r="E75" s="4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2:59" ht="13.5" customHeight="1">
      <c r="B76" s="110" t="s">
        <v>38</v>
      </c>
      <c r="C76" s="111">
        <f>C74/C26</f>
        <v>119.58974358974359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2:59" ht="13.5" customHeight="1">
      <c r="B77" s="54"/>
      <c r="C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2:59" ht="18.75">
      <c r="B78" s="112" t="s">
        <v>86</v>
      </c>
      <c r="C78" s="92"/>
      <c r="E78" s="36" t="s">
        <v>20</v>
      </c>
      <c r="F78" s="32"/>
      <c r="G78" s="32"/>
      <c r="H78" s="2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2:59" ht="13.5" customHeight="1">
      <c r="B79" s="78" t="s">
        <v>87</v>
      </c>
      <c r="C79" s="113">
        <f>C40+C64+C72</f>
        <v>3952000</v>
      </c>
      <c r="E79" s="27" t="s">
        <v>2</v>
      </c>
      <c r="F79" s="3"/>
      <c r="G79" s="5">
        <f>C79</f>
        <v>3952000</v>
      </c>
      <c r="H79" s="2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:59" ht="13.5" customHeight="1">
      <c r="B80" s="114" t="s">
        <v>88</v>
      </c>
      <c r="C80" s="115">
        <f>C47+C65+C67+C73</f>
        <v>1990200</v>
      </c>
      <c r="E80" s="27" t="s">
        <v>15</v>
      </c>
      <c r="F80" s="3"/>
      <c r="G80" s="5">
        <f>C80</f>
        <v>1990200</v>
      </c>
      <c r="H80" s="2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:59" ht="13.5" customHeight="1">
      <c r="B81" s="116" t="s">
        <v>89</v>
      </c>
      <c r="C81" s="101">
        <f>C79-C80</f>
        <v>1961800</v>
      </c>
      <c r="E81" s="33"/>
      <c r="F81" s="5"/>
      <c r="H81" s="2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:59" ht="13.5" customHeight="1">
      <c r="B82" s="117" t="s">
        <v>90</v>
      </c>
      <c r="C82" s="100">
        <f>SUM(C79-C80)/C79</f>
        <v>0.4964068825910931</v>
      </c>
      <c r="E82" s="124" t="str">
        <f>"5年節省 "&amp;TEXT(C82,"0%")&amp;" 的採購維護總成本"</f>
        <v>5年節省 50% 的採購維護總成本</v>
      </c>
      <c r="F82" s="34"/>
      <c r="G82" s="23"/>
      <c r="H82" s="2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:59" ht="13.5" customHeight="1">
      <c r="B83" s="48"/>
      <c r="C83" s="1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2:59" ht="21" customHeight="1">
      <c r="B84" s="83" t="s">
        <v>91</v>
      </c>
      <c r="C84" s="118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2:59" ht="13.5" customHeight="1">
      <c r="B85" s="70" t="s">
        <v>92</v>
      </c>
      <c r="C85" s="113">
        <f>C7*C9*1.05</f>
        <v>1732500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2:59" ht="13.5" customHeight="1">
      <c r="B86" s="114" t="s">
        <v>93</v>
      </c>
      <c r="C86" s="109">
        <f>C23*C9*1.05</f>
        <v>173250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2:59" ht="13.5" customHeight="1">
      <c r="B87" s="116" t="s">
        <v>94</v>
      </c>
      <c r="C87" s="101">
        <f>C85-C86</f>
        <v>1559250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2:59" ht="13.5" customHeight="1">
      <c r="B88" s="117" t="s">
        <v>90</v>
      </c>
      <c r="C88" s="100">
        <f>SUM(C85-C86)/C85</f>
        <v>0.9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2:59" ht="13.5" customHeight="1">
      <c r="B89" s="48"/>
      <c r="C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2:59" ht="15.75" customHeight="1">
      <c r="B90" s="112" t="s">
        <v>95</v>
      </c>
      <c r="C90" s="119">
        <f>C79+C85</f>
        <v>5684500</v>
      </c>
      <c r="E90" s="36" t="s">
        <v>21</v>
      </c>
      <c r="F90" s="32"/>
      <c r="G90" s="32"/>
      <c r="H90" s="2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2:59" ht="13.5" customHeight="1">
      <c r="B91" s="108" t="s">
        <v>96</v>
      </c>
      <c r="C91" s="120">
        <f>+C80+C86</f>
        <v>2163450</v>
      </c>
      <c r="E91" s="27" t="s">
        <v>2</v>
      </c>
      <c r="F91" s="3"/>
      <c r="G91" s="14">
        <f>C90</f>
        <v>5684500</v>
      </c>
      <c r="H91" s="2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2:59" ht="15.75" customHeight="1">
      <c r="B92" s="116" t="s">
        <v>27</v>
      </c>
      <c r="C92" s="101">
        <f>C90-C91</f>
        <v>3521050</v>
      </c>
      <c r="E92" s="27" t="s">
        <v>15</v>
      </c>
      <c r="F92" s="3"/>
      <c r="G92" s="14">
        <f>C91</f>
        <v>2163450</v>
      </c>
      <c r="H92" s="2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2:59" ht="13.5" customHeight="1">
      <c r="B93" s="117" t="s">
        <v>26</v>
      </c>
      <c r="C93" s="100">
        <f>SUM(C90-C91)/C90</f>
        <v>0.6194124373295804</v>
      </c>
      <c r="E93" s="27"/>
      <c r="F93" s="3"/>
      <c r="G93" s="3"/>
      <c r="H93" s="2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2:59" ht="16.5" customHeight="1">
      <c r="B94" s="48"/>
      <c r="C94" s="7"/>
      <c r="E94" s="21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2:59" ht="13.5" customHeight="1">
      <c r="B95" s="48"/>
      <c r="C95" s="7"/>
      <c r="E95" s="124" t="str">
        <f>"6年節省 "&amp;TEXT(C93,"0%")&amp;" 的採購維護總成本"</f>
        <v>6年節省 62% 的採購維護總成本</v>
      </c>
      <c r="F95" s="23"/>
      <c r="G95" s="23"/>
      <c r="H95" s="2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2:59" ht="16.5">
      <c r="B96" s="121" t="s">
        <v>28</v>
      </c>
      <c r="C96" s="12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2:59" ht="13.5" customHeight="1">
      <c r="B97" s="123" t="s">
        <v>29</v>
      </c>
      <c r="C97" s="126">
        <f>(C$57*5*C169)/1000</f>
        <v>7957.95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2:5" s="2" customFormat="1" ht="15" customHeight="1">
      <c r="B98" s="123" t="s">
        <v>30</v>
      </c>
      <c r="C98" s="126">
        <f>(C$57*5*C170)/1000</f>
        <v>35.8545</v>
      </c>
      <c r="D98" s="46"/>
      <c r="E98" s="37" t="s">
        <v>14</v>
      </c>
    </row>
    <row r="99" spans="2:6" ht="13.5" customHeight="1">
      <c r="B99" s="123" t="s">
        <v>31</v>
      </c>
      <c r="C99" s="126">
        <f>$C$57*5*C171/1000</f>
        <v>227.37</v>
      </c>
      <c r="E99" s="2" t="s">
        <v>6</v>
      </c>
      <c r="F99" s="16">
        <f>C53*5*C169/1000</f>
        <v>9043.125</v>
      </c>
    </row>
    <row r="100" spans="2:6" ht="13.5" customHeight="1">
      <c r="B100" s="123" t="s">
        <v>32</v>
      </c>
      <c r="C100" s="126">
        <f>$C$57*5*C172/1000</f>
        <v>1093.125</v>
      </c>
      <c r="E100" s="2" t="s">
        <v>15</v>
      </c>
      <c r="F100" s="17">
        <f>C55*5*C169/1000</f>
        <v>1085.175</v>
      </c>
    </row>
    <row r="101" spans="2:6" ht="13.5" customHeight="1">
      <c r="B101" s="123" t="s">
        <v>33</v>
      </c>
      <c r="C101" s="127">
        <f>C24*(C173-C174)/1000</f>
        <v>0.9446</v>
      </c>
      <c r="F101" s="40">
        <f>F99-F100</f>
        <v>7957.95</v>
      </c>
    </row>
    <row r="102" spans="2:3" ht="13.5" customHeight="1">
      <c r="B102" s="48"/>
      <c r="C102" s="12"/>
    </row>
    <row r="104" ht="13.5" customHeight="1">
      <c r="E104" s="37" t="s">
        <v>10</v>
      </c>
    </row>
    <row r="105" spans="5:6" ht="13.5" customHeight="1">
      <c r="E105" s="2" t="s">
        <v>6</v>
      </c>
      <c r="F105" s="16">
        <f>C53*5*C170/1000</f>
        <v>40.74375</v>
      </c>
    </row>
    <row r="106" spans="2:6" s="2" customFormat="1" ht="13.5" customHeight="1">
      <c r="B106" s="52"/>
      <c r="C106" s="6"/>
      <c r="D106" s="46"/>
      <c r="E106" s="2" t="s">
        <v>15</v>
      </c>
      <c r="F106" s="17">
        <f>C55*5*C170/1000</f>
        <v>4.88925</v>
      </c>
    </row>
    <row r="107" ht="13.5" customHeight="1">
      <c r="F107" s="40">
        <f>F105-F106</f>
        <v>35.8545</v>
      </c>
    </row>
    <row r="108" ht="13.5" customHeight="1">
      <c r="F108" s="16"/>
    </row>
    <row r="109" ht="13.5" customHeight="1">
      <c r="F109" s="16"/>
    </row>
    <row r="110" ht="13.5" customHeight="1">
      <c r="F110" s="16"/>
    </row>
    <row r="112" spans="5:8" ht="13.5" customHeight="1">
      <c r="E112" s="37" t="s">
        <v>11</v>
      </c>
      <c r="H112" s="2" t="s">
        <v>34</v>
      </c>
    </row>
    <row r="113" spans="5:9" ht="13.5" customHeight="1">
      <c r="E113" s="2" t="s">
        <v>6</v>
      </c>
      <c r="F113" s="40">
        <f>C53*5*C171/1000</f>
        <v>258.375</v>
      </c>
      <c r="H113" s="2" t="s">
        <v>6</v>
      </c>
      <c r="I113" s="15">
        <f>C7*C173/1000</f>
        <v>0.96</v>
      </c>
    </row>
    <row r="114" spans="5:9" ht="13.5" customHeight="1">
      <c r="E114" s="2" t="s">
        <v>15</v>
      </c>
      <c r="F114" s="41">
        <f>C55*5*C171/1000</f>
        <v>31.005</v>
      </c>
      <c r="H114" s="2" t="s">
        <v>15</v>
      </c>
      <c r="I114" s="39">
        <f>SUM(C23*C173)/1000+SUM(C24*L146)/1000</f>
        <v>0.096</v>
      </c>
    </row>
    <row r="115" spans="6:9" ht="13.5" customHeight="1">
      <c r="F115" s="40">
        <f>F113-F114</f>
        <v>227.37</v>
      </c>
      <c r="H115" s="2" t="s">
        <v>0</v>
      </c>
      <c r="I115" s="15">
        <f>I113-I114</f>
        <v>0.864</v>
      </c>
    </row>
    <row r="168" spans="2:3" ht="13.5" customHeight="1">
      <c r="B168" s="55" t="s">
        <v>19</v>
      </c>
      <c r="C168" s="18"/>
    </row>
    <row r="169" spans="2:3" ht="13.5" customHeight="1">
      <c r="B169" s="49" t="s">
        <v>13</v>
      </c>
      <c r="C169" s="12">
        <v>27.3</v>
      </c>
    </row>
    <row r="170" spans="2:3" ht="13.5" customHeight="1">
      <c r="B170" s="49" t="s">
        <v>16</v>
      </c>
      <c r="C170" s="12">
        <v>0.123</v>
      </c>
    </row>
    <row r="171" spans="2:3" ht="13.5" customHeight="1">
      <c r="B171" s="56" t="s">
        <v>17</v>
      </c>
      <c r="C171" s="12">
        <v>0.78</v>
      </c>
    </row>
    <row r="172" spans="2:3" ht="13.5" customHeight="1">
      <c r="B172" s="49" t="s">
        <v>18</v>
      </c>
      <c r="C172" s="12">
        <v>3.75</v>
      </c>
    </row>
    <row r="173" spans="2:3" ht="13.5" customHeight="1">
      <c r="B173" s="49" t="s">
        <v>1</v>
      </c>
      <c r="C173" s="12">
        <v>9.6</v>
      </c>
    </row>
    <row r="174" spans="2:3" ht="13.5" customHeight="1">
      <c r="B174" s="49" t="s">
        <v>3</v>
      </c>
      <c r="C174" s="12">
        <v>0.154</v>
      </c>
    </row>
    <row r="175" spans="2:3" ht="13.5" customHeight="1">
      <c r="B175" s="57" t="s">
        <v>4</v>
      </c>
      <c r="C175" s="10"/>
    </row>
    <row r="176" spans="2:3" ht="13.5" customHeight="1">
      <c r="B176" s="57" t="s">
        <v>5</v>
      </c>
      <c r="C176" s="10"/>
    </row>
    <row r="177" spans="2:3" ht="13.5" customHeight="1">
      <c r="B177" s="57" t="s">
        <v>12</v>
      </c>
      <c r="C177" s="9"/>
    </row>
    <row r="178" spans="2:3" ht="13.5" customHeight="1">
      <c r="B178" s="57"/>
      <c r="C178" s="9"/>
    </row>
    <row r="179" spans="2:3" ht="13.5" customHeight="1">
      <c r="B179" s="52" t="s">
        <v>22</v>
      </c>
      <c r="C179" s="9"/>
    </row>
    <row r="180" ht="13.5" customHeight="1">
      <c r="B180" s="48" t="s">
        <v>23</v>
      </c>
    </row>
    <row r="181" ht="13.5" customHeight="1">
      <c r="B181" s="58" t="s">
        <v>39</v>
      </c>
    </row>
  </sheetData>
  <sheetProtection selectLockedCells="1"/>
  <dataValidations count="2">
    <dataValidation type="whole" allowBlank="1" showInputMessage="1" showErrorMessage="1" errorTitle="Error" error="Value must be between 1 and 365" sqref="C17:C18">
      <formula1>0</formula1>
      <formula2>365</formula2>
    </dataValidation>
    <dataValidation type="decimal" allowBlank="1" showInputMessage="1" showErrorMessage="1" errorTitle="Error" error="Value must be between 0 and 24" sqref="C15:C16">
      <formula1>0</formula1>
      <formula2>24</formula2>
    </dataValidation>
  </dataValidations>
  <printOptions horizontalCentered="1"/>
  <pageMargins left="0.5" right="0.5" top="0.5" bottom="0.5" header="0.5" footer="0.5"/>
  <pageSetup fitToHeight="3" horizontalDpi="300" verticalDpi="300" orientation="portrait" scale="79" r:id="rId2"/>
  <rowBreaks count="2" manualBreakCount="2">
    <brk id="60" min="1" max="2" man="1"/>
    <brk id="102" min="1" max="2" man="1"/>
  </rowBreaks>
  <colBreaks count="2" manualBreakCount="2">
    <brk id="1" max="183" man="1"/>
    <brk id="3" max="65535" man="1"/>
  </colBreaks>
  <ignoredErrors>
    <ignoredError sqref="G40:G41 G54:G55 G79:G8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G181"/>
  <sheetViews>
    <sheetView showGridLines="0" zoomScale="80" zoomScaleNormal="80" zoomScalePageLayoutView="0" workbookViewId="0" topLeftCell="A1">
      <selection activeCell="B54" sqref="B54"/>
    </sheetView>
  </sheetViews>
  <sheetFormatPr defaultColWidth="9.140625" defaultRowHeight="13.5" customHeight="1"/>
  <cols>
    <col min="1" max="1" width="3.421875" style="3" customWidth="1"/>
    <col min="2" max="2" width="104.28125" style="52" customWidth="1"/>
    <col min="3" max="3" width="16.28125" style="6" customWidth="1"/>
    <col min="4" max="4" width="5.57421875" style="1" hidden="1" customWidth="1"/>
    <col min="5" max="5" width="11.00390625" style="2" hidden="1" customWidth="1"/>
    <col min="6" max="6" width="18.28125" style="2" hidden="1" customWidth="1"/>
    <col min="7" max="7" width="13.421875" style="2" hidden="1" customWidth="1"/>
    <col min="8" max="9" width="9.140625" style="2" hidden="1" customWidth="1"/>
    <col min="10" max="10" width="2.00390625" style="2" hidden="1" customWidth="1"/>
    <col min="11" max="11" width="8.8515625" style="2" hidden="1" customWidth="1"/>
    <col min="12" max="59" width="9.140625" style="2" customWidth="1"/>
    <col min="60" max="16384" width="9.140625" style="3" customWidth="1"/>
  </cols>
  <sheetData>
    <row r="1" spans="2:59" s="59" customFormat="1" ht="39.75" customHeight="1">
      <c r="B1" s="60"/>
      <c r="C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</row>
    <row r="2" spans="2:59" s="59" customFormat="1" ht="36.75" customHeight="1">
      <c r="B2" s="63"/>
      <c r="C2" s="64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</row>
    <row r="3" spans="2:59" s="59" customFormat="1" ht="34.5" customHeight="1" thickBot="1">
      <c r="B3" s="65" t="s">
        <v>36</v>
      </c>
      <c r="C3" s="66" t="s">
        <v>24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</row>
    <row r="4" spans="2:3" ht="17.25" customHeight="1">
      <c r="B4" s="51"/>
      <c r="C4" s="11"/>
    </row>
    <row r="5" spans="2:3" ht="19.5" customHeight="1" thickBot="1">
      <c r="B5" s="67" t="s">
        <v>41</v>
      </c>
      <c r="C5" s="45"/>
    </row>
    <row r="6" spans="2:3" ht="4.5" customHeight="1">
      <c r="B6" s="51"/>
      <c r="C6" s="9"/>
    </row>
    <row r="7" spans="2:59" ht="13.5" customHeight="1">
      <c r="B7" s="68" t="s">
        <v>42</v>
      </c>
      <c r="C7" s="69">
        <v>100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2:59" ht="4.5" customHeight="1">
      <c r="B8" s="47"/>
      <c r="C8" s="4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2:59" ht="13.5" customHeight="1">
      <c r="B9" s="70" t="s">
        <v>43</v>
      </c>
      <c r="C9" s="71">
        <f>16500</f>
        <v>16500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2:59" ht="4.5" customHeight="1">
      <c r="B10" s="48"/>
      <c r="C10" s="4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ht="13.5" customHeight="1">
      <c r="B11" s="70" t="s">
        <v>44</v>
      </c>
      <c r="C11" s="71">
        <v>7500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ht="4.5" customHeight="1">
      <c r="B12" s="70"/>
      <c r="C12" s="7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59" ht="13.5" customHeight="1">
      <c r="B13" s="70" t="s">
        <v>45</v>
      </c>
      <c r="C13" s="73">
        <v>250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2:59" ht="4.5" customHeight="1">
      <c r="B14" s="70"/>
      <c r="C14" s="7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2:59" ht="13.5" customHeight="1">
      <c r="B15" s="75" t="s">
        <v>46</v>
      </c>
      <c r="C15" s="73">
        <v>10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2:59" ht="4.5" customHeight="1">
      <c r="B16" s="75"/>
      <c r="C16" s="7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2:59" ht="13.5" customHeight="1">
      <c r="B17" s="75" t="s">
        <v>47</v>
      </c>
      <c r="C17" s="73">
        <v>265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2:59" ht="4.5" customHeight="1">
      <c r="B18" s="75"/>
      <c r="C18" s="7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2:59" ht="13.5" customHeight="1">
      <c r="B19" s="70" t="s">
        <v>110</v>
      </c>
      <c r="C19" s="76">
        <v>3.2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2:59" ht="4.5" customHeight="1">
      <c r="B20" s="48"/>
      <c r="C20" s="4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2:59" ht="13.5" customHeight="1">
      <c r="B21" s="77" t="s">
        <v>118</v>
      </c>
      <c r="C21" s="73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2:59" ht="4.5" customHeight="1">
      <c r="B22" s="70"/>
      <c r="C22" s="7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2:59" ht="13.5" customHeight="1">
      <c r="B23" s="78" t="s">
        <v>48</v>
      </c>
      <c r="C23" s="79">
        <v>10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2:59" ht="13.5" customHeight="1">
      <c r="B24" s="78" t="s">
        <v>117</v>
      </c>
      <c r="C24" s="79">
        <f>C7</f>
        <v>100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2:59" ht="4.5" customHeight="1">
      <c r="B25" s="50"/>
      <c r="C25" s="3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2:59" ht="13.5" customHeight="1">
      <c r="B26" s="70" t="s">
        <v>40</v>
      </c>
      <c r="C26" s="71">
        <v>3960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2:59" ht="4.5" customHeight="1">
      <c r="B27" s="70"/>
      <c r="C27" s="7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2:59" ht="13.5" customHeight="1">
      <c r="B28" s="70" t="s">
        <v>49</v>
      </c>
      <c r="C28" s="71">
        <v>3500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2:59" ht="4.5" customHeight="1">
      <c r="B29" s="70"/>
      <c r="C29" s="7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2:59" ht="13.5" customHeight="1">
      <c r="B30" s="75" t="s">
        <v>50</v>
      </c>
      <c r="C30" s="71">
        <v>400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2:59" ht="4.5" customHeight="1">
      <c r="B31" s="75"/>
      <c r="C31" s="7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2:59" ht="13.5" customHeight="1">
      <c r="B32" s="75" t="s">
        <v>37</v>
      </c>
      <c r="C32" s="71">
        <v>2500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2:59" ht="4.5" customHeight="1">
      <c r="B33" s="75"/>
      <c r="C33" s="7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2:59" ht="13.5" customHeight="1">
      <c r="B34" s="70" t="s">
        <v>97</v>
      </c>
      <c r="C34" s="73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2:59" ht="4.5" customHeight="1">
      <c r="B35" s="48"/>
      <c r="C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2:3" ht="13.5" customHeight="1">
      <c r="B36" s="53"/>
      <c r="C36" s="9"/>
    </row>
    <row r="37" spans="2:5" ht="22.5" customHeight="1" thickBot="1">
      <c r="B37" s="80" t="s">
        <v>25</v>
      </c>
      <c r="C37" s="81"/>
      <c r="E37" s="2" t="s">
        <v>7</v>
      </c>
    </row>
    <row r="38" spans="2:3" ht="4.5" customHeight="1">
      <c r="B38" s="70"/>
      <c r="C38" s="82"/>
    </row>
    <row r="39" spans="2:8" ht="18" customHeight="1">
      <c r="B39" s="83" t="s">
        <v>54</v>
      </c>
      <c r="C39" s="82"/>
      <c r="E39" s="25" t="s">
        <v>8</v>
      </c>
      <c r="F39" s="19"/>
      <c r="G39" s="19"/>
      <c r="H39" s="20"/>
    </row>
    <row r="40" spans="2:12" ht="13.5" customHeight="1">
      <c r="B40" s="70" t="s">
        <v>55</v>
      </c>
      <c r="C40" s="84">
        <f>(C7*C9+C28*C7+C30*C7)*1.05</f>
        <v>2142000</v>
      </c>
      <c r="E40" s="21" t="s">
        <v>2</v>
      </c>
      <c r="G40" s="5">
        <f>C40</f>
        <v>2142000</v>
      </c>
      <c r="H40" s="22"/>
      <c r="L40" s="128" t="s">
        <v>53</v>
      </c>
    </row>
    <row r="41" spans="2:8" ht="13.5" customHeight="1">
      <c r="B41" s="85" t="s">
        <v>98</v>
      </c>
      <c r="C41" s="86"/>
      <c r="E41" s="21" t="s">
        <v>15</v>
      </c>
      <c r="G41" s="5">
        <f>C47</f>
        <v>1302000</v>
      </c>
      <c r="H41" s="22"/>
    </row>
    <row r="42" spans="2:12" ht="13.5" customHeight="1">
      <c r="B42" s="87" t="s">
        <v>57</v>
      </c>
      <c r="C42" s="88">
        <f>C9*C23*1.05</f>
        <v>173250</v>
      </c>
      <c r="E42" s="21"/>
      <c r="H42" s="22"/>
      <c r="L42" s="128" t="s">
        <v>53</v>
      </c>
    </row>
    <row r="43" spans="2:12" ht="13.5" customHeight="1">
      <c r="B43" s="87" t="s">
        <v>99</v>
      </c>
      <c r="C43" s="88">
        <f>C26*C24*1.05</f>
        <v>415800</v>
      </c>
      <c r="E43" s="21"/>
      <c r="H43" s="22"/>
      <c r="L43" s="128" t="s">
        <v>53</v>
      </c>
    </row>
    <row r="44" spans="2:12" ht="13.5" customHeight="1">
      <c r="B44" s="87" t="s">
        <v>59</v>
      </c>
      <c r="C44" s="88">
        <f>C28*(C24+C23)*1.05</f>
        <v>404250</v>
      </c>
      <c r="E44" s="21"/>
      <c r="H44" s="22"/>
      <c r="L44" s="128" t="s">
        <v>53</v>
      </c>
    </row>
    <row r="45" spans="2:12" ht="13.5" customHeight="1">
      <c r="B45" s="87" t="s">
        <v>60</v>
      </c>
      <c r="C45" s="88">
        <f>C30*(C24+C23)*1.05</f>
        <v>46200</v>
      </c>
      <c r="E45" s="21"/>
      <c r="H45" s="22"/>
      <c r="L45" s="128" t="s">
        <v>53</v>
      </c>
    </row>
    <row r="46" spans="2:12" ht="13.5" customHeight="1">
      <c r="B46" s="87" t="s">
        <v>61</v>
      </c>
      <c r="C46" s="89">
        <f>C32*C24*1.05</f>
        <v>262500</v>
      </c>
      <c r="E46" s="21"/>
      <c r="H46" s="22"/>
      <c r="L46" s="128" t="s">
        <v>53</v>
      </c>
    </row>
    <row r="47" spans="2:12" ht="13.5" customHeight="1">
      <c r="B47" s="90" t="s">
        <v>100</v>
      </c>
      <c r="C47" s="91">
        <f>C46+C45+C44+C43+C42</f>
        <v>1302000</v>
      </c>
      <c r="E47" s="21"/>
      <c r="H47" s="22"/>
      <c r="L47" s="128" t="s">
        <v>53</v>
      </c>
    </row>
    <row r="48" spans="2:8" ht="13.5" customHeight="1">
      <c r="B48" s="48"/>
      <c r="C48" s="7"/>
      <c r="E48" s="21"/>
      <c r="H48" s="22"/>
    </row>
    <row r="49" spans="2:8" ht="13.5" customHeight="1">
      <c r="B49" s="92" t="s">
        <v>63</v>
      </c>
      <c r="C49" s="101">
        <f>C40-C47</f>
        <v>840000</v>
      </c>
      <c r="E49" s="21"/>
      <c r="H49" s="22"/>
    </row>
    <row r="50" spans="2:8" ht="13.5" customHeight="1">
      <c r="B50" s="92" t="s">
        <v>64</v>
      </c>
      <c r="C50" s="100">
        <f>SUM(C40-C47)/C40</f>
        <v>0.39215686274509803</v>
      </c>
      <c r="E50" s="124" t="str">
        <f>"首年採購總成本減少 "&amp;TEXT(C50,"0%")&amp;""</f>
        <v>首年採購總成本減少 39%</v>
      </c>
      <c r="F50" s="23"/>
      <c r="G50" s="23"/>
      <c r="H50" s="24"/>
    </row>
    <row r="51" spans="2:3" ht="13.5" customHeight="1">
      <c r="B51" s="48"/>
      <c r="C51" s="7"/>
    </row>
    <row r="52" spans="2:59" ht="13.5" customHeight="1">
      <c r="B52" s="83" t="s">
        <v>65</v>
      </c>
      <c r="C52" s="92"/>
      <c r="E52" s="25" t="s">
        <v>9</v>
      </c>
      <c r="F52" s="19"/>
      <c r="G52" s="19"/>
      <c r="H52" s="2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2:59" ht="13.5" customHeight="1">
      <c r="B53" s="70" t="s">
        <v>66</v>
      </c>
      <c r="C53" s="93">
        <f>(C7*C13*C15*C17)/1000</f>
        <v>66250</v>
      </c>
      <c r="E53" s="21"/>
      <c r="H53" s="2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2:59" ht="13.5" customHeight="1">
      <c r="B54" s="70" t="s">
        <v>67</v>
      </c>
      <c r="C54" s="94">
        <f>C53*C19</f>
        <v>212000</v>
      </c>
      <c r="E54" s="27" t="s">
        <v>2</v>
      </c>
      <c r="F54" s="3"/>
      <c r="G54" s="13">
        <f>C54</f>
        <v>212000</v>
      </c>
      <c r="H54" s="2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2:59" ht="13.5" customHeight="1">
      <c r="B55" s="95" t="s">
        <v>101</v>
      </c>
      <c r="C55" s="96">
        <f>(C13*C15*C17*C23/1000)+(C15*C17*C24*C34/1000)</f>
        <v>6890</v>
      </c>
      <c r="E55" s="27" t="s">
        <v>15</v>
      </c>
      <c r="F55" s="3"/>
      <c r="G55" s="13">
        <f>C56</f>
        <v>22048</v>
      </c>
      <c r="H55" s="2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2:59" ht="13.5" customHeight="1">
      <c r="B56" s="97" t="s">
        <v>69</v>
      </c>
      <c r="C56" s="98">
        <f>C55*C19</f>
        <v>22048</v>
      </c>
      <c r="E56" s="27"/>
      <c r="F56" s="3"/>
      <c r="G56" s="13"/>
      <c r="H56" s="2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2:59" ht="13.5" customHeight="1">
      <c r="B57" s="92" t="s">
        <v>70</v>
      </c>
      <c r="C57" s="99">
        <f>C53-C55</f>
        <v>59360</v>
      </c>
      <c r="E57" s="27"/>
      <c r="F57" s="3"/>
      <c r="G57" s="3"/>
      <c r="H57" s="2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2:59" ht="13.5" customHeight="1">
      <c r="B58" s="92" t="s">
        <v>71</v>
      </c>
      <c r="C58" s="100">
        <f>(C53-C55)/C53</f>
        <v>0.896</v>
      </c>
      <c r="E58" s="125" t="str">
        <f>"1年可節省電力總費用 "&amp;TEXT(C58,"0%")&amp;""</f>
        <v>1年可節省電力總費用 90%</v>
      </c>
      <c r="F58" s="3"/>
      <c r="G58" s="3"/>
      <c r="H58" s="2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2:59" ht="13.5" customHeight="1">
      <c r="B59" s="92" t="s">
        <v>72</v>
      </c>
      <c r="C59" s="101">
        <f>C57*C19</f>
        <v>189952</v>
      </c>
      <c r="E59" s="29"/>
      <c r="F59" s="30"/>
      <c r="G59" s="30"/>
      <c r="H59" s="3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2:59" ht="13.5" customHeight="1">
      <c r="B60" s="48"/>
      <c r="C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2:59" ht="21" customHeight="1">
      <c r="B61" s="83" t="s">
        <v>73</v>
      </c>
      <c r="C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2:59" ht="13.5" customHeight="1">
      <c r="B62" s="48"/>
      <c r="C62" s="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2:59" ht="13.5" customHeight="1">
      <c r="B63" s="102" t="s">
        <v>74</v>
      </c>
      <c r="C63" s="10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2:59" ht="13.5" customHeight="1">
      <c r="B64" s="78" t="s">
        <v>75</v>
      </c>
      <c r="C64" s="103">
        <f>C11*C7</f>
        <v>750000</v>
      </c>
      <c r="E64" s="3"/>
      <c r="F64" s="3"/>
      <c r="G64" s="3"/>
      <c r="H64" s="3"/>
      <c r="I64" s="3"/>
      <c r="J64" s="3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2:59" ht="13.5" customHeight="1">
      <c r="B65" s="104" t="s">
        <v>102</v>
      </c>
      <c r="C65" s="105">
        <f>(C11*C23)</f>
        <v>75000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2:59" ht="13.5" customHeight="1">
      <c r="B66" s="106" t="s">
        <v>103</v>
      </c>
      <c r="C66" s="88">
        <f>ROUNDUP(C24/300,0)*C26</f>
        <v>3960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2:59" ht="13.5" customHeight="1">
      <c r="B67" s="90" t="s">
        <v>104</v>
      </c>
      <c r="C67" s="91">
        <f>C65+C66</f>
        <v>78960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2:59" ht="13.5" customHeight="1">
      <c r="B68" s="92" t="s">
        <v>79</v>
      </c>
      <c r="C68" s="101">
        <f>C64-C67</f>
        <v>671040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:59" ht="13.5" customHeight="1">
      <c r="B69" s="92" t="s">
        <v>80</v>
      </c>
      <c r="C69" s="100">
        <f>SUM(C64-C67)/C64</f>
        <v>0.89472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2:59" ht="13.5" customHeight="1">
      <c r="B70" s="48"/>
      <c r="C70" s="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2:59" ht="13.5" customHeight="1">
      <c r="B71" s="102" t="s">
        <v>81</v>
      </c>
      <c r="C71" s="10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2:59" ht="13.5" customHeight="1">
      <c r="B72" s="107" t="s">
        <v>82</v>
      </c>
      <c r="C72" s="103">
        <f>C54*5</f>
        <v>1060000</v>
      </c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2:59" ht="13.5" customHeight="1">
      <c r="B73" s="108" t="s">
        <v>105</v>
      </c>
      <c r="C73" s="109">
        <f>C56*5</f>
        <v>110240</v>
      </c>
      <c r="E73" s="4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2:59" ht="13.5" customHeight="1">
      <c r="B74" s="92" t="s">
        <v>84</v>
      </c>
      <c r="C74" s="101">
        <f>C72-C73</f>
        <v>949760</v>
      </c>
      <c r="E74" s="4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2:59" ht="13.5" customHeight="1">
      <c r="B75" s="92" t="s">
        <v>85</v>
      </c>
      <c r="C75" s="100">
        <f>(C72-C73)/C72</f>
        <v>0.896</v>
      </c>
      <c r="E75" s="4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2:59" ht="13.5" customHeight="1">
      <c r="B76" s="110" t="s">
        <v>38</v>
      </c>
      <c r="C76" s="111">
        <f>C74/C26</f>
        <v>239.83838383838383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2:59" ht="13.5" customHeight="1">
      <c r="B77" s="54"/>
      <c r="C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2:59" ht="18.75">
      <c r="B78" s="112" t="s">
        <v>86</v>
      </c>
      <c r="C78" s="92"/>
      <c r="E78" s="36" t="s">
        <v>20</v>
      </c>
      <c r="F78" s="32"/>
      <c r="G78" s="32"/>
      <c r="H78" s="2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2:59" ht="13.5" customHeight="1">
      <c r="B79" s="78" t="s">
        <v>87</v>
      </c>
      <c r="C79" s="113">
        <f>C40+C64+C72</f>
        <v>3952000</v>
      </c>
      <c r="E79" s="27" t="s">
        <v>2</v>
      </c>
      <c r="F79" s="3"/>
      <c r="G79" s="5">
        <f>C79</f>
        <v>3952000</v>
      </c>
      <c r="H79" s="2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:59" ht="13.5" customHeight="1">
      <c r="B80" s="114" t="s">
        <v>106</v>
      </c>
      <c r="C80" s="115">
        <f>C47+C65+C67+C73</f>
        <v>1566200</v>
      </c>
      <c r="E80" s="27" t="s">
        <v>15</v>
      </c>
      <c r="F80" s="3"/>
      <c r="G80" s="5">
        <f>C80</f>
        <v>1566200</v>
      </c>
      <c r="H80" s="2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:59" ht="13.5" customHeight="1">
      <c r="B81" s="116" t="s">
        <v>89</v>
      </c>
      <c r="C81" s="101">
        <f>C79-C80</f>
        <v>2385800</v>
      </c>
      <c r="E81" s="33"/>
      <c r="F81" s="5"/>
      <c r="H81" s="2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:59" ht="13.5" customHeight="1">
      <c r="B82" s="117" t="s">
        <v>90</v>
      </c>
      <c r="C82" s="100">
        <f>SUM(C79-C80)/C79</f>
        <v>0.6036943319838056</v>
      </c>
      <c r="E82" s="124" t="str">
        <f>"5年節省 "&amp;TEXT(C82,"0%")&amp;" 的採購維護總成本"</f>
        <v>5年節省 60% 的採購維護總成本</v>
      </c>
      <c r="F82" s="34"/>
      <c r="G82" s="23"/>
      <c r="H82" s="2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:59" ht="13.5" customHeight="1">
      <c r="B83" s="48"/>
      <c r="C83" s="1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2:59" ht="21" customHeight="1">
      <c r="B84" s="83" t="s">
        <v>91</v>
      </c>
      <c r="C84" s="118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2:59" ht="13.5" customHeight="1">
      <c r="B85" s="70" t="s">
        <v>92</v>
      </c>
      <c r="C85" s="113">
        <f>C7*C9*1.05</f>
        <v>1732500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2:59" ht="13.5" customHeight="1">
      <c r="B86" s="114" t="s">
        <v>107</v>
      </c>
      <c r="C86" s="109">
        <f>C23*C9*1.05</f>
        <v>173250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2:59" ht="13.5" customHeight="1">
      <c r="B87" s="116" t="s">
        <v>94</v>
      </c>
      <c r="C87" s="101">
        <f>C85-C86</f>
        <v>1559250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2:59" ht="13.5" customHeight="1">
      <c r="B88" s="117" t="s">
        <v>90</v>
      </c>
      <c r="C88" s="100">
        <f>SUM(C85-C86)/C85</f>
        <v>0.9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2:59" ht="13.5" customHeight="1">
      <c r="B89" s="48"/>
      <c r="C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2:59" ht="15.75" customHeight="1">
      <c r="B90" s="112" t="s">
        <v>95</v>
      </c>
      <c r="C90" s="119">
        <f>C79+C85</f>
        <v>5684500</v>
      </c>
      <c r="E90" s="36" t="s">
        <v>21</v>
      </c>
      <c r="F90" s="32"/>
      <c r="G90" s="32"/>
      <c r="H90" s="2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2:59" ht="13.5" customHeight="1">
      <c r="B91" s="108" t="s">
        <v>108</v>
      </c>
      <c r="C91" s="120">
        <f>+C80+C86</f>
        <v>1739450</v>
      </c>
      <c r="E91" s="27" t="s">
        <v>2</v>
      </c>
      <c r="F91" s="3"/>
      <c r="G91" s="14">
        <f>C90</f>
        <v>5684500</v>
      </c>
      <c r="H91" s="2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2:59" ht="15.75" customHeight="1">
      <c r="B92" s="116" t="s">
        <v>109</v>
      </c>
      <c r="C92" s="101">
        <f>C90-C91</f>
        <v>3945050</v>
      </c>
      <c r="E92" s="27" t="s">
        <v>15</v>
      </c>
      <c r="F92" s="3"/>
      <c r="G92" s="14">
        <f>C91</f>
        <v>1739450</v>
      </c>
      <c r="H92" s="2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2:59" ht="13.5" customHeight="1">
      <c r="B93" s="117" t="s">
        <v>90</v>
      </c>
      <c r="C93" s="100">
        <f>SUM(C90-C91)/C90</f>
        <v>0.6940012314187703</v>
      </c>
      <c r="E93" s="27"/>
      <c r="F93" s="3"/>
      <c r="G93" s="3"/>
      <c r="H93" s="2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2:59" ht="16.5" customHeight="1">
      <c r="B94" s="48"/>
      <c r="C94" s="7"/>
      <c r="E94" s="21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2:59" ht="13.5" customHeight="1">
      <c r="B95" s="48"/>
      <c r="C95" s="7"/>
      <c r="E95" s="124" t="str">
        <f>"6年節省 "&amp;TEXT(C93,"0%")&amp;" 的採購維護總成本"</f>
        <v>6年節省 69% 的採購維護總成本</v>
      </c>
      <c r="F95" s="23"/>
      <c r="G95" s="23"/>
      <c r="H95" s="2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2:59" ht="16.5">
      <c r="B96" s="121" t="s">
        <v>28</v>
      </c>
      <c r="C96" s="12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2:59" ht="13.5" customHeight="1">
      <c r="B97" s="123" t="s">
        <v>29</v>
      </c>
      <c r="C97" s="126">
        <f>(C$57*5*C169)/1000</f>
        <v>8102.64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2:5" s="2" customFormat="1" ht="15" customHeight="1">
      <c r="B98" s="123" t="s">
        <v>30</v>
      </c>
      <c r="C98" s="126">
        <f>(C$57*5*C170)/1000</f>
        <v>36.5064</v>
      </c>
      <c r="D98" s="46"/>
      <c r="E98" s="37" t="s">
        <v>14</v>
      </c>
    </row>
    <row r="99" spans="2:6" ht="13.5" customHeight="1">
      <c r="B99" s="123" t="s">
        <v>31</v>
      </c>
      <c r="C99" s="126">
        <f>$C$57*5*C171/1000</f>
        <v>231.504</v>
      </c>
      <c r="E99" s="2" t="s">
        <v>6</v>
      </c>
      <c r="F99" s="16">
        <f>C53*5*C169/1000</f>
        <v>9043.125</v>
      </c>
    </row>
    <row r="100" spans="2:6" ht="13.5" customHeight="1">
      <c r="B100" s="123" t="s">
        <v>32</v>
      </c>
      <c r="C100" s="126">
        <f>$C$57*5*C172/1000</f>
        <v>1113</v>
      </c>
      <c r="E100" s="2" t="s">
        <v>15</v>
      </c>
      <c r="F100" s="17">
        <f>C55*5*C169/1000</f>
        <v>940.485</v>
      </c>
    </row>
    <row r="101" spans="2:6" ht="13.5" customHeight="1">
      <c r="B101" s="123" t="s">
        <v>33</v>
      </c>
      <c r="C101" s="127">
        <f>C24*(C173-C174)/1000</f>
        <v>0.9446</v>
      </c>
      <c r="F101" s="40">
        <f>F99-F100</f>
        <v>8102.64</v>
      </c>
    </row>
    <row r="102" spans="2:3" ht="13.5" customHeight="1">
      <c r="B102" s="48"/>
      <c r="C102" s="12"/>
    </row>
    <row r="104" ht="13.5" customHeight="1">
      <c r="E104" s="37" t="s">
        <v>10</v>
      </c>
    </row>
    <row r="105" spans="5:6" ht="13.5" customHeight="1">
      <c r="E105" s="2" t="s">
        <v>6</v>
      </c>
      <c r="F105" s="16">
        <f>C53*5*C170/1000</f>
        <v>40.74375</v>
      </c>
    </row>
    <row r="106" spans="2:6" s="2" customFormat="1" ht="13.5" customHeight="1">
      <c r="B106" s="52"/>
      <c r="C106" s="6"/>
      <c r="D106" s="46"/>
      <c r="E106" s="2" t="s">
        <v>15</v>
      </c>
      <c r="F106" s="17">
        <f>C55*5*C170/1000</f>
        <v>4.23735</v>
      </c>
    </row>
    <row r="107" ht="13.5" customHeight="1">
      <c r="F107" s="40">
        <f>F105-F106</f>
        <v>36.5064</v>
      </c>
    </row>
    <row r="108" ht="13.5" customHeight="1">
      <c r="F108" s="16"/>
    </row>
    <row r="109" ht="13.5" customHeight="1">
      <c r="F109" s="16"/>
    </row>
    <row r="110" ht="13.5" customHeight="1">
      <c r="F110" s="16"/>
    </row>
    <row r="112" spans="5:8" ht="13.5" customHeight="1">
      <c r="E112" s="37" t="s">
        <v>11</v>
      </c>
      <c r="H112" s="2" t="s">
        <v>34</v>
      </c>
    </row>
    <row r="113" spans="5:9" ht="13.5" customHeight="1">
      <c r="E113" s="2" t="s">
        <v>6</v>
      </c>
      <c r="F113" s="40">
        <f>C53*5*C171/1000</f>
        <v>258.375</v>
      </c>
      <c r="H113" s="2" t="s">
        <v>6</v>
      </c>
      <c r="I113" s="15">
        <f>C7*C173/1000</f>
        <v>0.96</v>
      </c>
    </row>
    <row r="114" spans="5:9" ht="13.5" customHeight="1">
      <c r="E114" s="2" t="s">
        <v>15</v>
      </c>
      <c r="F114" s="41">
        <f>C55*5*C171/1000</f>
        <v>26.871</v>
      </c>
      <c r="H114" s="2" t="s">
        <v>15</v>
      </c>
      <c r="I114" s="39">
        <f>SUM(C23*C173)/1000+SUM(C24*L146)/1000</f>
        <v>0.096</v>
      </c>
    </row>
    <row r="115" spans="6:9" ht="13.5" customHeight="1">
      <c r="F115" s="40">
        <f>F113-F114</f>
        <v>231.504</v>
      </c>
      <c r="H115" s="2" t="s">
        <v>0</v>
      </c>
      <c r="I115" s="15">
        <f>I113-I114</f>
        <v>0.864</v>
      </c>
    </row>
    <row r="168" spans="2:3" ht="13.5" customHeight="1">
      <c r="B168" s="55" t="s">
        <v>19</v>
      </c>
      <c r="C168" s="18"/>
    </row>
    <row r="169" spans="2:3" ht="13.5" customHeight="1">
      <c r="B169" s="49" t="s">
        <v>13</v>
      </c>
      <c r="C169" s="12">
        <v>27.3</v>
      </c>
    </row>
    <row r="170" spans="2:3" ht="13.5" customHeight="1">
      <c r="B170" s="49" t="s">
        <v>16</v>
      </c>
      <c r="C170" s="12">
        <v>0.123</v>
      </c>
    </row>
    <row r="171" spans="2:3" ht="13.5" customHeight="1">
      <c r="B171" s="56" t="s">
        <v>17</v>
      </c>
      <c r="C171" s="12">
        <v>0.78</v>
      </c>
    </row>
    <row r="172" spans="2:3" ht="13.5" customHeight="1">
      <c r="B172" s="49" t="s">
        <v>18</v>
      </c>
      <c r="C172" s="12">
        <v>3.75</v>
      </c>
    </row>
    <row r="173" spans="2:3" ht="13.5" customHeight="1">
      <c r="B173" s="49" t="s">
        <v>1</v>
      </c>
      <c r="C173" s="12">
        <v>9.6</v>
      </c>
    </row>
    <row r="174" spans="2:3" ht="13.5" customHeight="1">
      <c r="B174" s="49" t="s">
        <v>3</v>
      </c>
      <c r="C174" s="12">
        <v>0.154</v>
      </c>
    </row>
    <row r="175" spans="2:3" ht="13.5" customHeight="1">
      <c r="B175" s="57" t="s">
        <v>4</v>
      </c>
      <c r="C175" s="10"/>
    </row>
    <row r="176" spans="2:3" ht="13.5" customHeight="1">
      <c r="B176" s="57" t="s">
        <v>5</v>
      </c>
      <c r="C176" s="10"/>
    </row>
    <row r="177" spans="2:3" ht="13.5" customHeight="1">
      <c r="B177" s="57" t="s">
        <v>12</v>
      </c>
      <c r="C177" s="9"/>
    </row>
    <row r="178" spans="2:3" ht="13.5" customHeight="1">
      <c r="B178" s="57"/>
      <c r="C178" s="9"/>
    </row>
    <row r="179" spans="2:3" ht="13.5" customHeight="1">
      <c r="B179" s="52" t="s">
        <v>22</v>
      </c>
      <c r="C179" s="9"/>
    </row>
    <row r="180" ht="13.5" customHeight="1">
      <c r="B180" s="48" t="s">
        <v>23</v>
      </c>
    </row>
    <row r="181" ht="13.5" customHeight="1">
      <c r="B181" s="58" t="s">
        <v>39</v>
      </c>
    </row>
  </sheetData>
  <sheetProtection/>
  <dataValidations count="2">
    <dataValidation type="decimal" allowBlank="1" showInputMessage="1" showErrorMessage="1" errorTitle="Error" error="Value must be between 0 and 24" sqref="C15:C16">
      <formula1>0</formula1>
      <formula2>24</formula2>
    </dataValidation>
    <dataValidation type="whole" allowBlank="1" showInputMessage="1" showErrorMessage="1" errorTitle="Error" error="Value must be between 1 and 365" sqref="C17:C18">
      <formula1>0</formula1>
      <formula2>365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NComputing,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rshah</dc:creator>
  <cp:keywords/>
  <dc:description/>
  <cp:lastModifiedBy>johnchen</cp:lastModifiedBy>
  <cp:lastPrinted>2009-02-11T19:41:36Z</cp:lastPrinted>
  <dcterms:created xsi:type="dcterms:W3CDTF">2008-05-20T23:38:25Z</dcterms:created>
  <dcterms:modified xsi:type="dcterms:W3CDTF">2012-11-22T03:32:36Z</dcterms:modified>
  <cp:category/>
  <cp:version/>
  <cp:contentType/>
  <cp:contentStatus/>
</cp:coreProperties>
</file>